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l.bolkvadze\Desktop\"/>
    </mc:Choice>
  </mc:AlternateContent>
  <xr:revisionPtr revIDLastSave="0" documentId="8_{4B0EA112-E5B5-4688-9882-FE156A8BBE67}" xr6:coauthVersionLast="47" xr6:coauthVersionMax="47" xr10:uidLastSave="{00000000-0000-0000-0000-000000000000}"/>
  <bookViews>
    <workbookView xWindow="3465" yWindow="3465" windowWidth="21600" windowHeight="11385" activeTab="1" xr2:uid="{00000000-000D-0000-FFFF-FFFF00000000}"/>
  </bookViews>
  <sheets>
    <sheet name="ხარჯთაღრიცხვა" sheetId="4" r:id="rId1"/>
    <sheet name="სატენდერო" sheetId="6" r:id="rId2"/>
  </sheets>
  <definedNames>
    <definedName name="_xlnm.Print_Area" localSheetId="1">სატენდერო!$A$1:$M$319</definedName>
    <definedName name="_xlnm.Print_Area" localSheetId="0">ხარჯთაღრიცხვა!$A$1:$M$319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3" i="6" l="1"/>
  <c r="F294" i="6"/>
  <c r="F290" i="6" s="1"/>
  <c r="O304" i="4"/>
  <c r="F303" i="4"/>
  <c r="F295" i="4" s="1"/>
  <c r="F294" i="4"/>
  <c r="Q298" i="4"/>
  <c r="E304" i="4"/>
  <c r="F304" i="4" s="1"/>
  <c r="J304" i="4" s="1"/>
  <c r="M304" i="4" s="1"/>
  <c r="J302" i="4"/>
  <c r="M302" i="4" s="1"/>
  <c r="E301" i="4"/>
  <c r="F301" i="4" s="1"/>
  <c r="K300" i="4"/>
  <c r="E300" i="4"/>
  <c r="F300" i="4" s="1"/>
  <c r="G299" i="4"/>
  <c r="F299" i="4"/>
  <c r="E304" i="6"/>
  <c r="F304" i="6" s="1"/>
  <c r="E301" i="6"/>
  <c r="F301" i="6" s="1"/>
  <c r="E300" i="6"/>
  <c r="F300" i="6" s="1"/>
  <c r="F299" i="6"/>
  <c r="F283" i="6"/>
  <c r="F283" i="4"/>
  <c r="F214" i="6"/>
  <c r="F259" i="4"/>
  <c r="F265" i="4" s="1"/>
  <c r="E296" i="6"/>
  <c r="E293" i="6"/>
  <c r="E292" i="6"/>
  <c r="E287" i="6"/>
  <c r="E281" i="6"/>
  <c r="F281" i="6" s="1"/>
  <c r="F280" i="6"/>
  <c r="F279" i="6"/>
  <c r="E278" i="6"/>
  <c r="F278" i="6" s="1"/>
  <c r="F277" i="6"/>
  <c r="E274" i="6"/>
  <c r="F274" i="6" s="1"/>
  <c r="F273" i="6"/>
  <c r="F272" i="6"/>
  <c r="E271" i="6"/>
  <c r="F271" i="6" s="1"/>
  <c r="F270" i="6"/>
  <c r="E266" i="6"/>
  <c r="B266" i="6"/>
  <c r="B265" i="6"/>
  <c r="B264" i="6"/>
  <c r="B263" i="6"/>
  <c r="E260" i="6"/>
  <c r="F259" i="6"/>
  <c r="F265" i="6" s="1"/>
  <c r="E257" i="6"/>
  <c r="F256" i="6"/>
  <c r="E255" i="6"/>
  <c r="F255" i="6" s="1"/>
  <c r="F254" i="6"/>
  <c r="F249" i="6"/>
  <c r="F248" i="6"/>
  <c r="F247" i="6"/>
  <c r="F246" i="6"/>
  <c r="F245" i="6"/>
  <c r="F244" i="6"/>
  <c r="F243" i="6"/>
  <c r="F242" i="6"/>
  <c r="F241" i="6"/>
  <c r="F240" i="6"/>
  <c r="F239" i="6"/>
  <c r="E237" i="6"/>
  <c r="F229" i="6"/>
  <c r="F228" i="6"/>
  <c r="F227" i="6"/>
  <c r="F226" i="6"/>
  <c r="N225" i="6"/>
  <c r="F225" i="6"/>
  <c r="F224" i="6"/>
  <c r="F223" i="6"/>
  <c r="F222" i="6"/>
  <c r="E220" i="6"/>
  <c r="F215" i="6"/>
  <c r="F212" i="6"/>
  <c r="F211" i="6"/>
  <c r="E207" i="6"/>
  <c r="F204" i="6"/>
  <c r="F203" i="6"/>
  <c r="F202" i="6"/>
  <c r="F201" i="6"/>
  <c r="F197" i="6"/>
  <c r="F200" i="6" s="1"/>
  <c r="E194" i="6"/>
  <c r="F191" i="6"/>
  <c r="F190" i="6"/>
  <c r="F189" i="6"/>
  <c r="F188" i="6"/>
  <c r="F187" i="6"/>
  <c r="F183" i="6"/>
  <c r="F193" i="6" s="1"/>
  <c r="E180" i="6"/>
  <c r="F179" i="6"/>
  <c r="F177" i="6"/>
  <c r="F176" i="6"/>
  <c r="F175" i="6"/>
  <c r="F178" i="6" s="1"/>
  <c r="F171" i="6"/>
  <c r="F174" i="6" s="1"/>
  <c r="E168" i="6"/>
  <c r="F165" i="6"/>
  <c r="F164" i="6"/>
  <c r="F163" i="6"/>
  <c r="F159" i="6"/>
  <c r="F161" i="6" s="1"/>
  <c r="E156" i="6"/>
  <c r="F153" i="6"/>
  <c r="F152" i="6"/>
  <c r="F151" i="6"/>
  <c r="F150" i="6"/>
  <c r="F146" i="6"/>
  <c r="F149" i="6" s="1"/>
  <c r="F143" i="6"/>
  <c r="F141" i="6"/>
  <c r="F140" i="6"/>
  <c r="F137" i="6" s="1"/>
  <c r="F138" i="6" s="1"/>
  <c r="E134" i="6"/>
  <c r="F133" i="6"/>
  <c r="F131" i="6"/>
  <c r="F130" i="6"/>
  <c r="F129" i="6"/>
  <c r="F125" i="6"/>
  <c r="E123" i="6"/>
  <c r="F123" i="6" s="1"/>
  <c r="F135" i="6" s="1"/>
  <c r="E122" i="6"/>
  <c r="F122" i="6" s="1"/>
  <c r="F121" i="6"/>
  <c r="F119" i="6"/>
  <c r="F118" i="6"/>
  <c r="F117" i="6"/>
  <c r="F116" i="6"/>
  <c r="F115" i="6"/>
  <c r="F112" i="6"/>
  <c r="F111" i="6"/>
  <c r="E110" i="6"/>
  <c r="F110" i="6" s="1"/>
  <c r="F109" i="6"/>
  <c r="F102" i="6"/>
  <c r="F104" i="6" s="1"/>
  <c r="F100" i="6"/>
  <c r="E99" i="6"/>
  <c r="F99" i="6" s="1"/>
  <c r="F98" i="6"/>
  <c r="F96" i="6"/>
  <c r="F95" i="6"/>
  <c r="F94" i="6"/>
  <c r="F93" i="6"/>
  <c r="F92" i="6"/>
  <c r="F88" i="6"/>
  <c r="F86" i="6"/>
  <c r="F85" i="6"/>
  <c r="F82" i="6" s="1"/>
  <c r="F83" i="6" s="1"/>
  <c r="E79" i="6"/>
  <c r="F78" i="6"/>
  <c r="F76" i="6"/>
  <c r="F77" i="6" s="1"/>
  <c r="F72" i="6"/>
  <c r="F75" i="6" s="1"/>
  <c r="F68" i="6"/>
  <c r="F67" i="6"/>
  <c r="F66" i="6"/>
  <c r="F65" i="6"/>
  <c r="F64" i="6"/>
  <c r="F61" i="6"/>
  <c r="F70" i="6" s="1"/>
  <c r="F80" i="6" s="1"/>
  <c r="E58" i="6"/>
  <c r="F57" i="6"/>
  <c r="F55" i="6"/>
  <c r="F54" i="6"/>
  <c r="F53" i="6"/>
  <c r="F49" i="6"/>
  <c r="F51" i="6" s="1"/>
  <c r="E46" i="6"/>
  <c r="F45" i="6"/>
  <c r="F43" i="6"/>
  <c r="F42" i="6"/>
  <c r="F41" i="6"/>
  <c r="E39" i="6"/>
  <c r="F37" i="6"/>
  <c r="F47" i="6" s="1"/>
  <c r="E33" i="6"/>
  <c r="F31" i="6"/>
  <c r="F35" i="6" s="1"/>
  <c r="F25" i="6"/>
  <c r="F27" i="6" s="1"/>
  <c r="F23" i="6"/>
  <c r="F24" i="6" s="1"/>
  <c r="F15" i="6"/>
  <c r="F16" i="6" s="1"/>
  <c r="I266" i="4"/>
  <c r="E266" i="4"/>
  <c r="I265" i="4"/>
  <c r="I264" i="4"/>
  <c r="E260" i="4"/>
  <c r="H299" i="4" l="1"/>
  <c r="M299" i="4" s="1"/>
  <c r="N299" i="4" s="1"/>
  <c r="L300" i="4"/>
  <c r="M300" i="4" s="1"/>
  <c r="J303" i="4"/>
  <c r="M303" i="4" s="1"/>
  <c r="F79" i="6"/>
  <c r="F156" i="6"/>
  <c r="F290" i="4"/>
  <c r="P301" i="4" s="1"/>
  <c r="L301" i="4"/>
  <c r="M301" i="4" s="1"/>
  <c r="F105" i="6"/>
  <c r="F257" i="6"/>
  <c r="F206" i="6"/>
  <c r="F194" i="6"/>
  <c r="F235" i="6"/>
  <c r="F238" i="6" s="1"/>
  <c r="F44" i="6"/>
  <c r="F207" i="6"/>
  <c r="F32" i="6"/>
  <c r="F26" i="6"/>
  <c r="F46" i="6"/>
  <c r="F29" i="6"/>
  <c r="F34" i="6"/>
  <c r="F97" i="6"/>
  <c r="F184" i="6"/>
  <c r="F260" i="4"/>
  <c r="H260" i="4" s="1"/>
  <c r="M260" i="4" s="1"/>
  <c r="F266" i="4"/>
  <c r="J266" i="4" s="1"/>
  <c r="M266" i="4" s="1"/>
  <c r="F261" i="4"/>
  <c r="L261" i="4" s="1"/>
  <c r="M261" i="4" s="1"/>
  <c r="F28" i="6"/>
  <c r="F33" i="6"/>
  <c r="F38" i="6"/>
  <c r="F62" i="6"/>
  <c r="F106" i="6"/>
  <c r="F132" i="6"/>
  <c r="F186" i="6"/>
  <c r="F180" i="6"/>
  <c r="F261" i="6"/>
  <c r="F39" i="6"/>
  <c r="F166" i="6"/>
  <c r="F40" i="6"/>
  <c r="F56" i="6"/>
  <c r="F58" i="6"/>
  <c r="F69" i="6"/>
  <c r="F103" i="6"/>
  <c r="F120" i="6"/>
  <c r="F134" i="6"/>
  <c r="F144" i="6" s="1"/>
  <c r="F154" i="6"/>
  <c r="F266" i="6"/>
  <c r="F20" i="6"/>
  <c r="F21" i="6" s="1"/>
  <c r="F89" i="6"/>
  <c r="F173" i="6"/>
  <c r="F172" i="6"/>
  <c r="F18" i="6"/>
  <c r="F52" i="6"/>
  <c r="F59" i="6"/>
  <c r="F74" i="6"/>
  <c r="F73" i="6"/>
  <c r="F84" i="6"/>
  <c r="F157" i="6"/>
  <c r="F155" i="6"/>
  <c r="F148" i="6"/>
  <c r="F147" i="6"/>
  <c r="F192" i="6"/>
  <c r="F205" i="6"/>
  <c r="F296" i="6"/>
  <c r="F291" i="6"/>
  <c r="F293" i="6"/>
  <c r="F17" i="6"/>
  <c r="F127" i="6"/>
  <c r="F126" i="6"/>
  <c r="F128" i="6"/>
  <c r="F50" i="6"/>
  <c r="F63" i="6"/>
  <c r="F213" i="6"/>
  <c r="F218" i="6"/>
  <c r="F288" i="6"/>
  <c r="F286" i="6"/>
  <c r="F285" i="6"/>
  <c r="F284" i="6"/>
  <c r="F167" i="6"/>
  <c r="F169" i="6"/>
  <c r="F185" i="6"/>
  <c r="F199" i="6"/>
  <c r="F198" i="6"/>
  <c r="F287" i="6"/>
  <c r="F139" i="6"/>
  <c r="F162" i="6"/>
  <c r="F168" i="6"/>
  <c r="F160" i="6"/>
  <c r="F250" i="6"/>
  <c r="F236" i="6"/>
  <c r="F251" i="6"/>
  <c r="F237" i="6"/>
  <c r="F292" i="6"/>
  <c r="F260" i="6"/>
  <c r="F267" i="6"/>
  <c r="F262" i="6"/>
  <c r="J265" i="4"/>
  <c r="M265" i="4" s="1"/>
  <c r="F267" i="4"/>
  <c r="J267" i="4" s="1"/>
  <c r="M267" i="4" s="1"/>
  <c r="F262" i="4"/>
  <c r="F264" i="4" s="1"/>
  <c r="F264" i="6" l="1"/>
  <c r="F263" i="6"/>
  <c r="F181" i="6"/>
  <c r="F233" i="6"/>
  <c r="F219" i="6"/>
  <c r="F221" i="6"/>
  <c r="F232" i="6"/>
  <c r="L306" i="6"/>
  <c r="F220" i="6"/>
  <c r="F263" i="4"/>
  <c r="J263" i="4" s="1"/>
  <c r="M263" i="4" s="1"/>
  <c r="J264" i="4"/>
  <c r="M264" i="4" s="1"/>
  <c r="F195" i="6" l="1"/>
  <c r="H306" i="6"/>
  <c r="F208" i="6" l="1"/>
  <c r="M306" i="6" l="1"/>
  <c r="J306" i="6"/>
  <c r="L307" i="6" s="1"/>
  <c r="M307" i="6" s="1"/>
  <c r="M308" i="6" l="1"/>
  <c r="M309" i="6" l="1"/>
  <c r="M310" i="6" s="1"/>
  <c r="M311" i="6" l="1"/>
  <c r="M312" i="6" s="1"/>
  <c r="M313" i="6" l="1"/>
  <c r="M314" i="6" s="1"/>
  <c r="M315" i="6" l="1"/>
  <c r="M316" i="6" s="1"/>
  <c r="H8" i="6" s="1"/>
  <c r="I287" i="4" l="1"/>
  <c r="F286" i="4"/>
  <c r="L286" i="4" s="1"/>
  <c r="M286" i="4" s="1"/>
  <c r="G284" i="4"/>
  <c r="F287" i="4" l="1"/>
  <c r="J287" i="4" s="1"/>
  <c r="M287" i="4" s="1"/>
  <c r="F285" i="4"/>
  <c r="F284" i="4"/>
  <c r="H284" i="4" s="1"/>
  <c r="M284" i="4" s="1"/>
  <c r="F288" i="4"/>
  <c r="J288" i="4" s="1"/>
  <c r="M288" i="4" s="1"/>
  <c r="G291" i="4" l="1"/>
  <c r="E293" i="4"/>
  <c r="P11" i="4" l="1"/>
  <c r="E296" i="4" l="1"/>
  <c r="J295" i="4"/>
  <c r="M295" i="4" s="1"/>
  <c r="E292" i="4"/>
  <c r="J294" i="4"/>
  <c r="M294" i="4" s="1"/>
  <c r="E257" i="4"/>
  <c r="F256" i="4"/>
  <c r="E255" i="4"/>
  <c r="F255" i="4" s="1"/>
  <c r="G254" i="4"/>
  <c r="Q225" i="4"/>
  <c r="E281" i="4" l="1"/>
  <c r="F281" i="4" s="1"/>
  <c r="J281" i="4" s="1"/>
  <c r="M281" i="4" s="1"/>
  <c r="F279" i="4"/>
  <c r="L279" i="4" s="1"/>
  <c r="M279" i="4" s="1"/>
  <c r="E278" i="4"/>
  <c r="F278" i="4" s="1"/>
  <c r="F280" i="4"/>
  <c r="J280" i="4" s="1"/>
  <c r="M280" i="4" s="1"/>
  <c r="K278" i="4"/>
  <c r="F277" i="4"/>
  <c r="H277" i="4" s="1"/>
  <c r="M277" i="4" s="1"/>
  <c r="E274" i="4"/>
  <c r="F272" i="4"/>
  <c r="K271" i="4"/>
  <c r="K292" i="4" s="1"/>
  <c r="E271" i="4"/>
  <c r="F271" i="4" s="1"/>
  <c r="L271" i="4" l="1"/>
  <c r="M271" i="4" s="1"/>
  <c r="L278" i="4"/>
  <c r="M278" i="4" s="1"/>
  <c r="L272" i="4"/>
  <c r="M272" i="4" s="1"/>
  <c r="F274" i="4"/>
  <c r="J274" i="4" s="1"/>
  <c r="M274" i="4" s="1"/>
  <c r="F270" i="4"/>
  <c r="H270" i="4" s="1"/>
  <c r="M270" i="4" s="1"/>
  <c r="F215" i="4"/>
  <c r="G212" i="4"/>
  <c r="F212" i="4"/>
  <c r="F214" i="4" s="1"/>
  <c r="J214" i="4" s="1"/>
  <c r="M214" i="4" s="1"/>
  <c r="G110" i="4"/>
  <c r="G74" i="4"/>
  <c r="G93" i="4" s="1"/>
  <c r="G127" i="4" s="1"/>
  <c r="G39" i="4"/>
  <c r="G51" i="4" s="1"/>
  <c r="G116" i="4" s="1"/>
  <c r="G33" i="4"/>
  <c r="G63" i="4"/>
  <c r="G161" i="4"/>
  <c r="G219" i="4"/>
  <c r="G236" i="4"/>
  <c r="E237" i="4"/>
  <c r="K237" i="4"/>
  <c r="K285" i="4" s="1"/>
  <c r="L285" i="4" s="1"/>
  <c r="M285" i="4" s="1"/>
  <c r="F249" i="4"/>
  <c r="F248" i="4"/>
  <c r="N248" i="4" s="1"/>
  <c r="F247" i="4"/>
  <c r="N247" i="4" s="1"/>
  <c r="F246" i="4"/>
  <c r="N246" i="4" s="1"/>
  <c r="F245" i="4"/>
  <c r="N245" i="4" s="1"/>
  <c r="F244" i="4"/>
  <c r="N244" i="4" s="1"/>
  <c r="F243" i="4"/>
  <c r="N243" i="4" s="1"/>
  <c r="F242" i="4"/>
  <c r="N242" i="4" s="1"/>
  <c r="F241" i="4"/>
  <c r="N241" i="4" s="1"/>
  <c r="F240" i="4"/>
  <c r="N240" i="4" s="1"/>
  <c r="F239" i="4"/>
  <c r="N239" i="4" s="1"/>
  <c r="E220" i="4"/>
  <c r="I230" i="4"/>
  <c r="J230" i="4" s="1"/>
  <c r="M230" i="4" s="1"/>
  <c r="J231" i="4"/>
  <c r="M231" i="4" s="1"/>
  <c r="F229" i="4"/>
  <c r="J229" i="4" s="1"/>
  <c r="M229" i="4" s="1"/>
  <c r="F228" i="4"/>
  <c r="F227" i="4"/>
  <c r="F226" i="4"/>
  <c r="F225" i="4"/>
  <c r="F224" i="4"/>
  <c r="F223" i="4"/>
  <c r="F222" i="4"/>
  <c r="N222" i="4" s="1"/>
  <c r="F205" i="4"/>
  <c r="F204" i="4"/>
  <c r="F203" i="4"/>
  <c r="F202" i="4"/>
  <c r="F198" i="4"/>
  <c r="F207" i="4" s="1"/>
  <c r="E208" i="4"/>
  <c r="I207" i="4"/>
  <c r="E195" i="4"/>
  <c r="F192" i="4"/>
  <c r="F191" i="4"/>
  <c r="F190" i="4"/>
  <c r="F189" i="4"/>
  <c r="F188" i="4"/>
  <c r="F184" i="4"/>
  <c r="F194" i="4" s="1"/>
  <c r="I194" i="4"/>
  <c r="F180" i="4"/>
  <c r="F178" i="4"/>
  <c r="F177" i="4"/>
  <c r="F176" i="4"/>
  <c r="F172" i="4"/>
  <c r="F174" i="4" s="1"/>
  <c r="L174" i="4" s="1"/>
  <c r="M174" i="4" s="1"/>
  <c r="E181" i="4"/>
  <c r="I180" i="4"/>
  <c r="F166" i="4"/>
  <c r="F165" i="4"/>
  <c r="F164" i="4"/>
  <c r="F160" i="4"/>
  <c r="E169" i="4"/>
  <c r="I168" i="4"/>
  <c r="F154" i="4"/>
  <c r="F153" i="4"/>
  <c r="F152" i="4"/>
  <c r="F151" i="4"/>
  <c r="F147" i="4"/>
  <c r="F150" i="4" s="1"/>
  <c r="E157" i="4"/>
  <c r="I156" i="4"/>
  <c r="F144" i="4"/>
  <c r="J144" i="4" s="1"/>
  <c r="M144" i="4" s="1"/>
  <c r="F142" i="4"/>
  <c r="J142" i="4" s="1"/>
  <c r="M142" i="4" s="1"/>
  <c r="F141" i="4"/>
  <c r="F138" i="4" s="1"/>
  <c r="F87" i="4"/>
  <c r="J87" i="4" s="1"/>
  <c r="M87" i="4" s="1"/>
  <c r="J143" i="4"/>
  <c r="M143" i="4" s="1"/>
  <c r="F79" i="4"/>
  <c r="F134" i="4"/>
  <c r="F126" i="4"/>
  <c r="F132" i="4"/>
  <c r="F131" i="4"/>
  <c r="F130" i="4"/>
  <c r="E135" i="4"/>
  <c r="I134" i="4"/>
  <c r="E124" i="4"/>
  <c r="F124" i="4" s="1"/>
  <c r="E123" i="4"/>
  <c r="F123" i="4" s="1"/>
  <c r="J123" i="4" s="1"/>
  <c r="M123" i="4" s="1"/>
  <c r="F122" i="4"/>
  <c r="I122" i="4"/>
  <c r="F118" i="4"/>
  <c r="F117" i="4"/>
  <c r="L117" i="4" s="1"/>
  <c r="M117" i="4" s="1"/>
  <c r="I112" i="4"/>
  <c r="I35" i="4"/>
  <c r="F32" i="4"/>
  <c r="F35" i="4" s="1"/>
  <c r="F26" i="4"/>
  <c r="F103" i="4"/>
  <c r="F106" i="4" s="1"/>
  <c r="F113" i="4"/>
  <c r="J113" i="4" s="1"/>
  <c r="M113" i="4" s="1"/>
  <c r="F112" i="4"/>
  <c r="E111" i="4"/>
  <c r="F111" i="4" s="1"/>
  <c r="L111" i="4" s="1"/>
  <c r="M111" i="4" s="1"/>
  <c r="F110" i="4"/>
  <c r="I106" i="4"/>
  <c r="F101" i="4"/>
  <c r="J101" i="4" s="1"/>
  <c r="M101" i="4" s="1"/>
  <c r="E100" i="4"/>
  <c r="F100" i="4" s="1"/>
  <c r="J100" i="4" s="1"/>
  <c r="M100" i="4" s="1"/>
  <c r="F94" i="4"/>
  <c r="L94" i="4" s="1"/>
  <c r="M94" i="4" s="1"/>
  <c r="F99" i="4"/>
  <c r="I99" i="4"/>
  <c r="F95" i="4"/>
  <c r="J88" i="4"/>
  <c r="M88" i="4" s="1"/>
  <c r="E80" i="4"/>
  <c r="I79" i="4"/>
  <c r="I77" i="4"/>
  <c r="I97" i="4" s="1"/>
  <c r="I119" i="4" s="1"/>
  <c r="I120" i="4" s="1"/>
  <c r="I132" i="4" s="1"/>
  <c r="I154" i="4" s="1"/>
  <c r="F73" i="4"/>
  <c r="E34" i="4"/>
  <c r="E59" i="4"/>
  <c r="F58" i="4"/>
  <c r="I58" i="4"/>
  <c r="F50" i="4"/>
  <c r="F38" i="4"/>
  <c r="F41" i="4" s="1"/>
  <c r="I46" i="4"/>
  <c r="E47" i="4"/>
  <c r="F46" i="4"/>
  <c r="J224" i="4" l="1"/>
  <c r="M224" i="4" s="1"/>
  <c r="N224" i="4"/>
  <c r="J228" i="4"/>
  <c r="M228" i="4" s="1"/>
  <c r="N228" i="4"/>
  <c r="J225" i="4"/>
  <c r="M225" i="4" s="1"/>
  <c r="N225" i="4"/>
  <c r="J226" i="4"/>
  <c r="M226" i="4" s="1"/>
  <c r="N226" i="4"/>
  <c r="J223" i="4"/>
  <c r="M223" i="4" s="1"/>
  <c r="N223" i="4"/>
  <c r="J227" i="4"/>
  <c r="M227" i="4" s="1"/>
  <c r="N227" i="4"/>
  <c r="F273" i="4"/>
  <c r="J273" i="4" s="1"/>
  <c r="M273" i="4" s="1"/>
  <c r="H212" i="4"/>
  <c r="M212" i="4" s="1"/>
  <c r="F213" i="4"/>
  <c r="J213" i="4" s="1"/>
  <c r="F235" i="4"/>
  <c r="F236" i="4" s="1"/>
  <c r="H236" i="4" s="1"/>
  <c r="J240" i="4"/>
  <c r="M240" i="4" s="1"/>
  <c r="J242" i="4"/>
  <c r="M242" i="4" s="1"/>
  <c r="J244" i="4"/>
  <c r="M244" i="4" s="1"/>
  <c r="J246" i="4"/>
  <c r="M246" i="4" s="1"/>
  <c r="J239" i="4"/>
  <c r="M239" i="4" s="1"/>
  <c r="J241" i="4"/>
  <c r="M241" i="4" s="1"/>
  <c r="J243" i="4"/>
  <c r="M243" i="4" s="1"/>
  <c r="J245" i="4"/>
  <c r="M245" i="4" s="1"/>
  <c r="J247" i="4"/>
  <c r="M247" i="4" s="1"/>
  <c r="F218" i="4"/>
  <c r="J248" i="4"/>
  <c r="M248" i="4" s="1"/>
  <c r="J222" i="4"/>
  <c r="M222" i="4" s="1"/>
  <c r="J207" i="4"/>
  <c r="M207" i="4" s="1"/>
  <c r="F206" i="4"/>
  <c r="J206" i="4" s="1"/>
  <c r="M206" i="4" s="1"/>
  <c r="J194" i="4"/>
  <c r="M194" i="4" s="1"/>
  <c r="J180" i="4"/>
  <c r="M180" i="4" s="1"/>
  <c r="F186" i="4"/>
  <c r="L186" i="4" s="1"/>
  <c r="M186" i="4" s="1"/>
  <c r="F193" i="4"/>
  <c r="J193" i="4" s="1"/>
  <c r="M193" i="4" s="1"/>
  <c r="F195" i="4"/>
  <c r="J195" i="4" s="1"/>
  <c r="M195" i="4" s="1"/>
  <c r="F201" i="4"/>
  <c r="F208" i="4"/>
  <c r="J208" i="4" s="1"/>
  <c r="M208" i="4" s="1"/>
  <c r="F199" i="4"/>
  <c r="F200" i="4"/>
  <c r="L200" i="4" s="1"/>
  <c r="M200" i="4" s="1"/>
  <c r="F179" i="4"/>
  <c r="J179" i="4" s="1"/>
  <c r="M179" i="4" s="1"/>
  <c r="F187" i="4"/>
  <c r="F185" i="4"/>
  <c r="F181" i="4"/>
  <c r="J181" i="4" s="1"/>
  <c r="M181" i="4" s="1"/>
  <c r="F175" i="4"/>
  <c r="F173" i="4"/>
  <c r="F167" i="4"/>
  <c r="J167" i="4" s="1"/>
  <c r="M167" i="4" s="1"/>
  <c r="J154" i="4"/>
  <c r="M154" i="4" s="1"/>
  <c r="I166" i="4"/>
  <c r="F162" i="4"/>
  <c r="L162" i="4" s="1"/>
  <c r="M162" i="4" s="1"/>
  <c r="F156" i="4"/>
  <c r="J156" i="4" s="1"/>
  <c r="M156" i="4" s="1"/>
  <c r="F155" i="4"/>
  <c r="J155" i="4" s="1"/>
  <c r="M155" i="4" s="1"/>
  <c r="F148" i="4"/>
  <c r="F158" i="4"/>
  <c r="J158" i="4" s="1"/>
  <c r="M158" i="4" s="1"/>
  <c r="F170" i="4"/>
  <c r="F168" i="4"/>
  <c r="J168" i="4" s="1"/>
  <c r="M168" i="4" s="1"/>
  <c r="F133" i="4"/>
  <c r="J133" i="4" s="1"/>
  <c r="M133" i="4" s="1"/>
  <c r="F169" i="4"/>
  <c r="J169" i="4" s="1"/>
  <c r="M169" i="4" s="1"/>
  <c r="F163" i="4"/>
  <c r="F161" i="4"/>
  <c r="H161" i="4" s="1"/>
  <c r="M161" i="4" s="1"/>
  <c r="F149" i="4"/>
  <c r="L149" i="4" s="1"/>
  <c r="M149" i="4" s="1"/>
  <c r="F157" i="4"/>
  <c r="J157" i="4" s="1"/>
  <c r="M157" i="4" s="1"/>
  <c r="J132" i="4"/>
  <c r="M132" i="4" s="1"/>
  <c r="F135" i="4"/>
  <c r="F145" i="4" s="1"/>
  <c r="J145" i="4" s="1"/>
  <c r="M145" i="4" s="1"/>
  <c r="F140" i="4"/>
  <c r="L140" i="4" s="1"/>
  <c r="M140" i="4" s="1"/>
  <c r="G148" i="4"/>
  <c r="G173" i="4" s="1"/>
  <c r="G185" i="4" s="1"/>
  <c r="G199" i="4" s="1"/>
  <c r="I69" i="4"/>
  <c r="I56" i="4" s="1"/>
  <c r="H110" i="4"/>
  <c r="M110" i="4" s="1"/>
  <c r="F128" i="4"/>
  <c r="L128" i="4" s="1"/>
  <c r="M128" i="4" s="1"/>
  <c r="F139" i="4"/>
  <c r="H139" i="4" s="1"/>
  <c r="M139" i="4" s="1"/>
  <c r="J124" i="4"/>
  <c r="M124" i="4" s="1"/>
  <c r="F136" i="4"/>
  <c r="J136" i="4" s="1"/>
  <c r="M136" i="4" s="1"/>
  <c r="J79" i="4"/>
  <c r="M79" i="4" s="1"/>
  <c r="J99" i="4"/>
  <c r="M99" i="4" s="1"/>
  <c r="J122" i="4"/>
  <c r="M122" i="4" s="1"/>
  <c r="F127" i="4"/>
  <c r="H127" i="4" s="1"/>
  <c r="M127" i="4" s="1"/>
  <c r="J134" i="4"/>
  <c r="M134" i="4" s="1"/>
  <c r="F129" i="4"/>
  <c r="F34" i="4"/>
  <c r="L34" i="4" s="1"/>
  <c r="M34" i="4" s="1"/>
  <c r="F80" i="4"/>
  <c r="J80" i="4" s="1"/>
  <c r="M80" i="4" s="1"/>
  <c r="J106" i="4"/>
  <c r="M106" i="4" s="1"/>
  <c r="F104" i="4"/>
  <c r="H104" i="4" s="1"/>
  <c r="M104" i="4" s="1"/>
  <c r="F105" i="4"/>
  <c r="L105" i="4" s="1"/>
  <c r="M105" i="4" s="1"/>
  <c r="F107" i="4"/>
  <c r="J107" i="4" s="1"/>
  <c r="M107" i="4" s="1"/>
  <c r="J112" i="4"/>
  <c r="M112" i="4" s="1"/>
  <c r="J58" i="4"/>
  <c r="M58" i="4" s="1"/>
  <c r="F76" i="4"/>
  <c r="F75" i="4"/>
  <c r="L75" i="4" s="1"/>
  <c r="M75" i="4" s="1"/>
  <c r="F59" i="4"/>
  <c r="J59" i="4" s="1"/>
  <c r="M59" i="4" s="1"/>
  <c r="F60" i="4"/>
  <c r="J60" i="4" s="1"/>
  <c r="M60" i="4" s="1"/>
  <c r="F53" i="4"/>
  <c r="J35" i="4"/>
  <c r="M35" i="4" s="1"/>
  <c r="F48" i="4"/>
  <c r="J48" i="4" s="1"/>
  <c r="M48" i="4" s="1"/>
  <c r="F36" i="4"/>
  <c r="J36" i="4" s="1"/>
  <c r="M36" i="4" s="1"/>
  <c r="F33" i="4"/>
  <c r="H33" i="4" s="1"/>
  <c r="M33" i="4" s="1"/>
  <c r="F47" i="4"/>
  <c r="J47" i="4" s="1"/>
  <c r="M47" i="4" s="1"/>
  <c r="J46" i="4"/>
  <c r="M46" i="4" s="1"/>
  <c r="N253" i="4" l="1"/>
  <c r="F250" i="4"/>
  <c r="J250" i="4" s="1"/>
  <c r="M250" i="4" s="1"/>
  <c r="H199" i="4"/>
  <c r="M199" i="4" s="1"/>
  <c r="H173" i="4"/>
  <c r="M173" i="4" s="1"/>
  <c r="F238" i="4"/>
  <c r="L238" i="4" s="1"/>
  <c r="M238" i="4" s="1"/>
  <c r="F251" i="4"/>
  <c r="J251" i="4" s="1"/>
  <c r="M251" i="4" s="1"/>
  <c r="M213" i="4"/>
  <c r="M236" i="4"/>
  <c r="F237" i="4"/>
  <c r="L237" i="4" s="1"/>
  <c r="M237" i="4" s="1"/>
  <c r="H185" i="4"/>
  <c r="M185" i="4" s="1"/>
  <c r="J135" i="4"/>
  <c r="M135" i="4" s="1"/>
  <c r="J166" i="4"/>
  <c r="M166" i="4" s="1"/>
  <c r="I178" i="4"/>
  <c r="J170" i="4"/>
  <c r="M170" i="4" s="1"/>
  <c r="F182" i="4"/>
  <c r="H148" i="4"/>
  <c r="M148" i="4" s="1"/>
  <c r="F90" i="4"/>
  <c r="J90" i="4" s="1"/>
  <c r="M90" i="4" s="1"/>
  <c r="J256" i="4" l="1"/>
  <c r="M256" i="4" s="1"/>
  <c r="L255" i="4"/>
  <c r="M255" i="4" s="1"/>
  <c r="F254" i="4"/>
  <c r="J178" i="4"/>
  <c r="M178" i="4" s="1"/>
  <c r="I192" i="4"/>
  <c r="J182" i="4"/>
  <c r="M182" i="4" s="1"/>
  <c r="F196" i="4"/>
  <c r="H254" i="4" l="1"/>
  <c r="M254" i="4" s="1"/>
  <c r="F257" i="4"/>
  <c r="J257" i="4" s="1"/>
  <c r="M257" i="4" s="1"/>
  <c r="J192" i="4"/>
  <c r="M192" i="4" s="1"/>
  <c r="I205" i="4"/>
  <c r="J196" i="4"/>
  <c r="M196" i="4" s="1"/>
  <c r="F209" i="4"/>
  <c r="J209" i="4" l="1"/>
  <c r="M209" i="4" s="1"/>
  <c r="J205" i="4"/>
  <c r="M205" i="4" s="1"/>
  <c r="E40" i="4"/>
  <c r="I42" i="4"/>
  <c r="I43" i="4" s="1"/>
  <c r="I44" i="4" s="1"/>
  <c r="I54" i="4" s="1"/>
  <c r="I41" i="4"/>
  <c r="I53" i="4" s="1"/>
  <c r="I76" i="4" s="1"/>
  <c r="I95" i="4" s="1"/>
  <c r="I118" i="4" s="1"/>
  <c r="I129" i="4" s="1"/>
  <c r="J129" i="4" l="1"/>
  <c r="M129" i="4" s="1"/>
  <c r="I150" i="4"/>
  <c r="I163" i="4" s="1"/>
  <c r="I55" i="4"/>
  <c r="I65" i="4"/>
  <c r="I66" i="4" s="1"/>
  <c r="I67" i="4" s="1"/>
  <c r="I68" i="4" s="1"/>
  <c r="I86" i="4" s="1"/>
  <c r="I96" i="4" s="1"/>
  <c r="I130" i="4" s="1"/>
  <c r="F40" i="4"/>
  <c r="L40" i="4" s="1"/>
  <c r="M40" i="4" s="1"/>
  <c r="F30" i="4"/>
  <c r="J30" i="4" s="1"/>
  <c r="M30" i="4" s="1"/>
  <c r="I29" i="4"/>
  <c r="F29" i="4"/>
  <c r="F28" i="4"/>
  <c r="L28" i="4" s="1"/>
  <c r="M28" i="4" s="1"/>
  <c r="F27" i="4"/>
  <c r="H27" i="4" s="1"/>
  <c r="M27" i="4" s="1"/>
  <c r="F23" i="4"/>
  <c r="F24" i="4" s="1"/>
  <c r="L24" i="4" s="1"/>
  <c r="M24" i="4" s="1"/>
  <c r="K21" i="4"/>
  <c r="F15" i="4"/>
  <c r="F18" i="4" s="1"/>
  <c r="L18" i="4" s="1"/>
  <c r="M18" i="4" s="1"/>
  <c r="J163" i="4" l="1"/>
  <c r="M163" i="4" s="1"/>
  <c r="I175" i="4"/>
  <c r="I187" i="4" s="1"/>
  <c r="I131" i="4"/>
  <c r="J130" i="4"/>
  <c r="M130" i="4" s="1"/>
  <c r="J29" i="4"/>
  <c r="F17" i="4"/>
  <c r="L17" i="4" s="1"/>
  <c r="F20" i="4"/>
  <c r="F21" i="4" s="1"/>
  <c r="L21" i="4" s="1"/>
  <c r="M21" i="4" s="1"/>
  <c r="F16" i="4"/>
  <c r="H16" i="4" s="1"/>
  <c r="M17" i="4" l="1"/>
  <c r="M29" i="4"/>
  <c r="M16" i="4"/>
  <c r="J187" i="4"/>
  <c r="M187" i="4" s="1"/>
  <c r="I201" i="4"/>
  <c r="J131" i="4"/>
  <c r="M131" i="4" s="1"/>
  <c r="J150" i="4"/>
  <c r="M150" i="4" s="1"/>
  <c r="I141" i="4"/>
  <c r="F52" i="4"/>
  <c r="L52" i="4" s="1"/>
  <c r="M52" i="4" s="1"/>
  <c r="F74" i="4"/>
  <c r="F89" i="4"/>
  <c r="J89" i="4" s="1"/>
  <c r="M89" i="4" s="1"/>
  <c r="F86" i="4"/>
  <c r="F120" i="4"/>
  <c r="F119" i="4"/>
  <c r="F97" i="4"/>
  <c r="F96" i="4"/>
  <c r="F77" i="4"/>
  <c r="F78" i="4" s="1"/>
  <c r="J78" i="4" s="1"/>
  <c r="M78" i="4" s="1"/>
  <c r="J215" i="4" l="1"/>
  <c r="M215" i="4" s="1"/>
  <c r="J141" i="4"/>
  <c r="M141" i="4" s="1"/>
  <c r="I151" i="4"/>
  <c r="I164" i="4" s="1"/>
  <c r="I176" i="4" s="1"/>
  <c r="I188" i="4" s="1"/>
  <c r="I202" i="4" s="1"/>
  <c r="F121" i="4"/>
  <c r="J121" i="4" s="1"/>
  <c r="M121" i="4" s="1"/>
  <c r="F98" i="4"/>
  <c r="J98" i="4" s="1"/>
  <c r="M98" i="4" s="1"/>
  <c r="F83" i="4"/>
  <c r="F85" i="4" s="1"/>
  <c r="J86" i="4"/>
  <c r="M86" i="4" s="1"/>
  <c r="J96" i="4"/>
  <c r="M96" i="4" s="1"/>
  <c r="J95" i="4"/>
  <c r="M95" i="4" s="1"/>
  <c r="J120" i="4"/>
  <c r="M120" i="4" s="1"/>
  <c r="J119" i="4"/>
  <c r="M119" i="4" s="1"/>
  <c r="J97" i="4"/>
  <c r="M97" i="4" s="1"/>
  <c r="J77" i="4"/>
  <c r="M77" i="4" s="1"/>
  <c r="F69" i="4"/>
  <c r="F68" i="4"/>
  <c r="F67" i="4"/>
  <c r="F66" i="4"/>
  <c r="F65" i="4"/>
  <c r="F62" i="4"/>
  <c r="F56" i="4"/>
  <c r="F55" i="4"/>
  <c r="F54" i="4"/>
  <c r="F42" i="4"/>
  <c r="F44" i="4"/>
  <c r="F43" i="4"/>
  <c r="F45" i="4" l="1"/>
  <c r="J45" i="4" s="1"/>
  <c r="M45" i="4" s="1"/>
  <c r="I203" i="4"/>
  <c r="J202" i="4"/>
  <c r="M202" i="4" s="1"/>
  <c r="I189" i="4"/>
  <c r="J201" i="4" s="1"/>
  <c r="M201" i="4" s="1"/>
  <c r="J188" i="4"/>
  <c r="M188" i="4" s="1"/>
  <c r="I177" i="4"/>
  <c r="J177" i="4" s="1"/>
  <c r="M177" i="4" s="1"/>
  <c r="J176" i="4"/>
  <c r="M176" i="4" s="1"/>
  <c r="J164" i="4"/>
  <c r="M164" i="4" s="1"/>
  <c r="J175" i="4"/>
  <c r="M175" i="4" s="1"/>
  <c r="I152" i="4"/>
  <c r="J151" i="4"/>
  <c r="M151" i="4" s="1"/>
  <c r="F84" i="4"/>
  <c r="H84" i="4" s="1"/>
  <c r="M84" i="4" s="1"/>
  <c r="L85" i="4"/>
  <c r="M85" i="4" s="1"/>
  <c r="F63" i="4"/>
  <c r="H63" i="4" s="1"/>
  <c r="M63" i="4" s="1"/>
  <c r="F71" i="4"/>
  <c r="F64" i="4"/>
  <c r="L64" i="4" s="1"/>
  <c r="F70" i="4"/>
  <c r="J70" i="4" s="1"/>
  <c r="M70" i="4" s="1"/>
  <c r="F57" i="4"/>
  <c r="J57" i="4" s="1"/>
  <c r="M57" i="4" s="1"/>
  <c r="J69" i="4"/>
  <c r="M69" i="4" s="1"/>
  <c r="J66" i="4"/>
  <c r="M66" i="4" s="1"/>
  <c r="J54" i="4"/>
  <c r="M54" i="4" s="1"/>
  <c r="J65" i="4"/>
  <c r="M65" i="4" s="1"/>
  <c r="J67" i="4"/>
  <c r="M67" i="4" s="1"/>
  <c r="J68" i="4"/>
  <c r="M68" i="4" s="1"/>
  <c r="J56" i="4"/>
  <c r="M56" i="4" s="1"/>
  <c r="J55" i="4"/>
  <c r="M55" i="4" s="1"/>
  <c r="J53" i="4"/>
  <c r="M53" i="4" s="1"/>
  <c r="J41" i="4"/>
  <c r="J44" i="4"/>
  <c r="M44" i="4" s="1"/>
  <c r="J43" i="4"/>
  <c r="M43" i="4" s="1"/>
  <c r="M41" i="4" l="1"/>
  <c r="M64" i="4"/>
  <c r="I204" i="4"/>
  <c r="J203" i="4"/>
  <c r="M203" i="4" s="1"/>
  <c r="I190" i="4"/>
  <c r="J189" i="4"/>
  <c r="M189" i="4" s="1"/>
  <c r="I153" i="4"/>
  <c r="J152" i="4"/>
  <c r="M152" i="4" s="1"/>
  <c r="J71" i="4"/>
  <c r="M71" i="4" s="1"/>
  <c r="F81" i="4"/>
  <c r="J81" i="4" s="1"/>
  <c r="M81" i="4" s="1"/>
  <c r="J204" i="4" l="1"/>
  <c r="M204" i="4" s="1"/>
  <c r="I249" i="4"/>
  <c r="J249" i="4" s="1"/>
  <c r="M249" i="4" s="1"/>
  <c r="I191" i="4"/>
  <c r="J191" i="4" s="1"/>
  <c r="M191" i="4" s="1"/>
  <c r="J190" i="4"/>
  <c r="M190" i="4" s="1"/>
  <c r="J153" i="4"/>
  <c r="M153" i="4" s="1"/>
  <c r="I165" i="4"/>
  <c r="J165" i="4" s="1"/>
  <c r="M165" i="4" s="1"/>
  <c r="F51" i="4"/>
  <c r="H51" i="4" s="1"/>
  <c r="M51" i="4" s="1"/>
  <c r="J76" i="4" l="1"/>
  <c r="M76" i="4" s="1"/>
  <c r="J118" i="4"/>
  <c r="M118" i="4" s="1"/>
  <c r="H74" i="4" l="1"/>
  <c r="M74" i="4" s="1"/>
  <c r="J42" i="4" l="1"/>
  <c r="F39" i="4"/>
  <c r="M42" i="4" l="1"/>
  <c r="F116" i="4"/>
  <c r="H116" i="4" s="1"/>
  <c r="M116" i="4" s="1"/>
  <c r="F93" i="4"/>
  <c r="H93" i="4" s="1"/>
  <c r="M93" i="4" s="1"/>
  <c r="H39" i="4"/>
  <c r="M39" i="4" l="1"/>
  <c r="F233" i="4" l="1"/>
  <c r="J233" i="4" s="1"/>
  <c r="F221" i="4"/>
  <c r="L221" i="4" s="1"/>
  <c r="F220" i="4"/>
  <c r="L220" i="4" s="1"/>
  <c r="F232" i="4"/>
  <c r="J232" i="4" s="1"/>
  <c r="F219" i="4"/>
  <c r="H219" i="4" s="1"/>
  <c r="M221" i="4" l="1"/>
  <c r="M233" i="4"/>
  <c r="M232" i="4"/>
  <c r="M220" i="4"/>
  <c r="M219" i="4"/>
  <c r="F293" i="4"/>
  <c r="L293" i="4" s="1"/>
  <c r="M293" i="4" s="1"/>
  <c r="F291" i="4"/>
  <c r="H291" i="4" s="1"/>
  <c r="H306" i="4" s="1"/>
  <c r="F296" i="4"/>
  <c r="J296" i="4" s="1"/>
  <c r="F292" i="4"/>
  <c r="L292" i="4" s="1"/>
  <c r="L306" i="4" s="1"/>
  <c r="J306" i="4" l="1"/>
  <c r="L307" i="4" s="1"/>
  <c r="M307" i="4" s="1"/>
  <c r="M296" i="4"/>
  <c r="M291" i="4"/>
  <c r="M292" i="4"/>
  <c r="M306" i="4" l="1"/>
  <c r="M308" i="4" s="1"/>
  <c r="M309" i="4" s="1"/>
  <c r="M310" i="4" s="1"/>
  <c r="N291" i="4"/>
  <c r="M311" i="4" l="1"/>
  <c r="M312" i="4" s="1"/>
  <c r="M313" i="4" l="1"/>
  <c r="M314" i="4" s="1"/>
  <c r="M315" i="4" l="1"/>
  <c r="M316" i="4" s="1"/>
  <c r="H8" i="4" s="1"/>
</calcChain>
</file>

<file path=xl/sharedStrings.xml><?xml version="1.0" encoding="utf-8"?>
<sst xmlns="http://schemas.openxmlformats.org/spreadsheetml/2006/main" count="1524" uniqueCount="208">
  <si>
    <t>#</t>
  </si>
  <si>
    <t>რაოდ.</t>
  </si>
  <si>
    <t>ერთ.</t>
  </si>
  <si>
    <t>სულ</t>
  </si>
  <si>
    <t>მ2</t>
  </si>
  <si>
    <t>ცალი</t>
  </si>
  <si>
    <t>ჯამი</t>
  </si>
  <si>
    <t>ლარი</t>
  </si>
  <si>
    <t>განზ. ერთ.</t>
  </si>
  <si>
    <t xml:space="preserve">ჯამი: </t>
  </si>
  <si>
    <t>(სამუშაოების დასხელება)</t>
  </si>
  <si>
    <t>(შესრულებული სამუშაოების ღირებულება)</t>
  </si>
  <si>
    <t>სამუშაოების დასახელება</t>
  </si>
  <si>
    <t>მუშათა ხელფასი</t>
  </si>
  <si>
    <t xml:space="preserve">სულ: </t>
  </si>
  <si>
    <t>ტონა</t>
  </si>
  <si>
    <t>სატრანსპორტო ხარჯები მასალის ღირებულებიდან 5%</t>
  </si>
  <si>
    <t>“</t>
  </si>
  <si>
    <r>
      <t xml:space="preserve">დანართი </t>
    </r>
    <r>
      <rPr>
        <b/>
        <sz val="10"/>
        <color theme="1"/>
        <rFont val="AcadNusx"/>
      </rPr>
      <t>#1</t>
    </r>
  </si>
  <si>
    <t>ნორმტ. ხარჯი ერთ-ზე</t>
  </si>
  <si>
    <t>ღირებულება ლარი,</t>
  </si>
  <si>
    <t>ხელფასი</t>
  </si>
  <si>
    <t>მასალა</t>
  </si>
  <si>
    <t xml:space="preserve">მანქანა მექანიზმები </t>
  </si>
  <si>
    <t>საფუძველი</t>
  </si>
  <si>
    <t>საბაზრო</t>
  </si>
  <si>
    <t>ზედნადები ხარჯები 10%</t>
  </si>
  <si>
    <t>გეგმიური დაგროვება 8%</t>
  </si>
  <si>
    <t>გაუთვალისწინებელი ხარჯები 3%</t>
  </si>
  <si>
    <t>დღგ-18%</t>
  </si>
  <si>
    <t>არმატურა D=12მმ A500C</t>
  </si>
  <si>
    <t>არმატურა D=14მმ A500C</t>
  </si>
  <si>
    <t>არმატურა D=20მმ A500C</t>
  </si>
  <si>
    <t>არმატურა D=16მმ A500C</t>
  </si>
  <si>
    <t>მ3</t>
  </si>
  <si>
    <t>ბეტონი ბ25</t>
  </si>
  <si>
    <t xml:space="preserve">მუშათა ხელფასი </t>
  </si>
  <si>
    <t>არმატურა D=8მმ A240C</t>
  </si>
  <si>
    <t>არმატურა D=10მმ A500C</t>
  </si>
  <si>
    <t>ბეტონი B25</t>
  </si>
  <si>
    <r>
      <t xml:space="preserve">არმატურის ნაშვერების მოწყობა </t>
    </r>
    <r>
      <rPr>
        <sz val="9"/>
        <rFont val="Arial"/>
        <family val="2"/>
        <charset val="204"/>
      </rPr>
      <t>(ან1 - ან3 ; ფრაგ. 1 - ფრაგ. 5)</t>
    </r>
  </si>
  <si>
    <r>
      <t xml:space="preserve">ლენტური საძირკველის მოწყობა რ/ბეტონით </t>
    </r>
    <r>
      <rPr>
        <sz val="9"/>
        <rFont val="Arial"/>
        <family val="2"/>
        <charset val="204"/>
      </rPr>
      <t>(კვეთები 1-1; 2-2; 3-3; 4-4)</t>
    </r>
  </si>
  <si>
    <r>
      <t xml:space="preserve">წერტილოვანი საძირკვლის მოწყობა რ/ბეტონით </t>
    </r>
    <r>
      <rPr>
        <sz val="9"/>
        <rFont val="Arial"/>
        <family val="2"/>
        <charset val="204"/>
      </rPr>
      <t>(წს1, წს2, წს3 და წს4 სვეტები)</t>
    </r>
  </si>
  <si>
    <r>
      <t xml:space="preserve">რ/ბეტონის კედლების მოწყობა -5.28 ნიშნულიდან -4.08 ნიშნულამდე </t>
    </r>
    <r>
      <rPr>
        <sz val="9"/>
        <rFont val="Arial"/>
        <family val="2"/>
        <charset val="204"/>
      </rPr>
      <t>(კვეთი 1-1 -:- 5-5)</t>
    </r>
  </si>
  <si>
    <t>არმატურა D=8მმ A500C</t>
  </si>
  <si>
    <r>
      <t xml:space="preserve">რ/ბეტონის </t>
    </r>
    <r>
      <rPr>
        <b/>
        <sz val="10"/>
        <rFont val="Arial"/>
        <family val="2"/>
      </rPr>
      <t xml:space="preserve">კიბეების </t>
    </r>
    <r>
      <rPr>
        <sz val="10"/>
        <rFont val="Arial"/>
        <family val="2"/>
        <charset val="204"/>
      </rPr>
      <t>(კიბე 1-3)</t>
    </r>
    <r>
      <rPr>
        <b/>
        <sz val="10"/>
        <rFont val="Arial"/>
        <family val="2"/>
      </rPr>
      <t xml:space="preserve"> მოწყობა -4.08 ნიშნულზე</t>
    </r>
  </si>
  <si>
    <t>1. რკინა ბეტონის სამუშაოები</t>
  </si>
  <si>
    <r>
      <t xml:space="preserve">ლითონის სვეტების </t>
    </r>
    <r>
      <rPr>
        <sz val="10"/>
        <rFont val="Arial"/>
        <family val="2"/>
        <charset val="204"/>
      </rPr>
      <t>(სვეტი 1-4)</t>
    </r>
    <r>
      <rPr>
        <b/>
        <sz val="10"/>
        <rFont val="Arial"/>
        <family val="2"/>
      </rPr>
      <t xml:space="preserve"> მოწყობა -4.08 და 0.00 ნიშნულებზე</t>
    </r>
  </si>
  <si>
    <t>ჭანჭიკი M30x120, 80 ცალი</t>
  </si>
  <si>
    <t>1-22-9</t>
  </si>
  <si>
    <t>III ჯგ. გრუნტის დამუშავება ექკავატორით, ა/თვითმცლელზე დაყრით</t>
  </si>
  <si>
    <t>1000მ3</t>
  </si>
  <si>
    <t>კაც.სთ.</t>
  </si>
  <si>
    <t>ექსკავატორი ჩამჩის ტევადობით 0.65მ3</t>
  </si>
  <si>
    <t>მანქ.სთ.</t>
  </si>
  <si>
    <t>სხვა მანქანები</t>
  </si>
  <si>
    <t>სრფ 14.1-2</t>
  </si>
  <si>
    <t>ზედმეტი გრუნტის გატანა ა/თვითმცლელით 2.5კმ მანძილზე</t>
  </si>
  <si>
    <t>თვითმცლელი</t>
  </si>
  <si>
    <t>1-31-3</t>
  </si>
  <si>
    <t>ბულდოზერი</t>
  </si>
  <si>
    <t>8-3-2</t>
  </si>
  <si>
    <t>მანქანები</t>
  </si>
  <si>
    <t>ღორღი 10-20მმ</t>
  </si>
  <si>
    <t>სხვა მასალები</t>
  </si>
  <si>
    <t>6-1-5</t>
  </si>
  <si>
    <t>ლამინირებული საყალიბო ფარი</t>
  </si>
  <si>
    <t>ხის მასალა</t>
  </si>
  <si>
    <t>შემკრავი მავთული</t>
  </si>
  <si>
    <t>კგ</t>
  </si>
  <si>
    <t>ბეტონის მომზადება, ბეტონით, ბ-7.5</t>
  </si>
  <si>
    <t>6-1-1</t>
  </si>
  <si>
    <t>6-34-2, გამ.</t>
  </si>
  <si>
    <t>ელექტროდი</t>
  </si>
  <si>
    <t>6-12-4</t>
  </si>
  <si>
    <r>
      <t xml:space="preserve">ჩასატანებელი დეტალების მონტაჟი </t>
    </r>
    <r>
      <rPr>
        <sz val="9"/>
        <rFont val="Arial"/>
        <family val="2"/>
        <charset val="204"/>
      </rPr>
      <t>(ჩდ-1 სვეტი 1 ზე, 51 ცალი)</t>
    </r>
  </si>
  <si>
    <r>
      <t xml:space="preserve">სვეტების მოწყობა რ/ბეტონით -5.28 ნიშნულიდან -4.08 ნიშნულამდე </t>
    </r>
    <r>
      <rPr>
        <sz val="9"/>
        <rFont val="Arial"/>
        <family val="2"/>
        <charset val="204"/>
      </rPr>
      <t>(სვ. 1, სვ. 2 და სვ. 3)</t>
    </r>
    <r>
      <rPr>
        <b/>
        <sz val="10"/>
        <rFont val="Arial"/>
        <family val="2"/>
      </rPr>
      <t xml:space="preserve"> </t>
    </r>
  </si>
  <si>
    <r>
      <t xml:space="preserve">არმატურა </t>
    </r>
    <r>
      <rPr>
        <sz val="10"/>
        <rFont val="Calibri"/>
        <family val="2"/>
        <charset val="204"/>
      </rPr>
      <t>Φ 32მმ X 540მმ X 150მმ L= 690მმ</t>
    </r>
  </si>
  <si>
    <r>
      <t xml:space="preserve">საყელური </t>
    </r>
    <r>
      <rPr>
        <sz val="10"/>
        <rFont val="Calibri"/>
        <family val="2"/>
        <charset val="204"/>
      </rPr>
      <t xml:space="preserve">8მმ X 65მმ X 65მმ </t>
    </r>
    <r>
      <rPr>
        <sz val="9"/>
        <rFont val="Calibri"/>
        <family val="2"/>
        <charset val="204"/>
      </rPr>
      <t>(300 ცალი). 0.05ტ</t>
    </r>
  </si>
  <si>
    <t>ქანჩი M-30</t>
  </si>
  <si>
    <t>6-14-4</t>
  </si>
  <si>
    <t>რ/ბეტონის ფილის ქვეშ საფუძვლის მოწყობა ღორღით, სისქით 10სმ</t>
  </si>
  <si>
    <t>რ/ბეტონის ფილის ქვეშ ბეტონის მომზადება, სისქით 5სმ, ბეტონით, ბ-7.5</t>
  </si>
  <si>
    <t>გრუნტის უკუჩაყრა</t>
  </si>
  <si>
    <t>რ/ბეტონის საძირკვლის კონსტრუქციების ქვეშ საფუძვლის მოწყობა ღორღით, სისქით 10სმ</t>
  </si>
  <si>
    <t>6-1-16</t>
  </si>
  <si>
    <t>რ/ბეტონის იატაკის ფილის მოწყობა -4.08 ნიშნულზე გრუნტის დატკეპნით, ღორღის დატკეპნით 10 სმ სისქით და ბეტონის მომზადების მოწყობით 5 სმ სისქით</t>
  </si>
  <si>
    <r>
      <t xml:space="preserve">ჩასატანებელი დეტალების მონტაჟი </t>
    </r>
    <r>
      <rPr>
        <sz val="9"/>
        <rFont val="Arial"/>
        <family val="2"/>
        <charset val="204"/>
      </rPr>
      <t>(ჩდ-1 სვეტი 2-ზე, 23 ცალი)</t>
    </r>
  </si>
  <si>
    <r>
      <t xml:space="preserve">საყრდენი ფილა </t>
    </r>
    <r>
      <rPr>
        <sz val="10"/>
        <rFont val="Calibri"/>
        <family val="2"/>
        <charset val="204"/>
      </rPr>
      <t xml:space="preserve">20მმ X 400მმ X 400მმ </t>
    </r>
    <r>
      <rPr>
        <sz val="9"/>
        <rFont val="Calibri"/>
        <family val="2"/>
        <charset val="204"/>
      </rPr>
      <t>(51ცალი), 1.28ტ.</t>
    </r>
  </si>
  <si>
    <r>
      <t xml:space="preserve">საყრდენი ფილა </t>
    </r>
    <r>
      <rPr>
        <sz val="10"/>
        <rFont val="Calibri"/>
        <family val="2"/>
        <charset val="204"/>
      </rPr>
      <t xml:space="preserve">20მმ X 400მმ X 400მმ </t>
    </r>
    <r>
      <rPr>
        <sz val="9"/>
        <rFont val="Calibri"/>
        <family val="2"/>
        <charset val="204"/>
      </rPr>
      <t>(23 ცალი), 0.58ტ.</t>
    </r>
  </si>
  <si>
    <r>
      <t xml:space="preserve">საყელური </t>
    </r>
    <r>
      <rPr>
        <sz val="10"/>
        <rFont val="Calibri"/>
        <family val="2"/>
        <charset val="204"/>
      </rPr>
      <t xml:space="preserve">8მმ X 65მმ X 65მმ </t>
    </r>
    <r>
      <rPr>
        <sz val="9"/>
        <rFont val="Calibri"/>
        <family val="2"/>
        <charset val="204"/>
      </rPr>
      <t>(300 ცალი). 0.024ტ</t>
    </r>
  </si>
  <si>
    <r>
      <t xml:space="preserve">რ/ბეტონის კედლების </t>
    </r>
    <r>
      <rPr>
        <sz val="10"/>
        <rFont val="Arial"/>
        <family val="2"/>
        <charset val="204"/>
      </rPr>
      <t>(კედელი 1-6)</t>
    </r>
    <r>
      <rPr>
        <b/>
        <sz val="10"/>
        <rFont val="Arial"/>
        <family val="2"/>
      </rPr>
      <t xml:space="preserve"> მოწყობა -4.08 ნიშნულიდან 0.00 ნუშნულამდე</t>
    </r>
  </si>
  <si>
    <t>6-16-5</t>
  </si>
  <si>
    <t>რ/ბეტონის სვეტების (სვეტი 1-3) მოწყობა -4.08 ნიშნულიდან 0.00 ნიშნულამდე</t>
  </si>
  <si>
    <t>რ/ბეტონის სვეტების (სვეტი 1-3) მოწყობა -40.00 ნიშნულიდან +4.20 ნიშნულამდე</t>
  </si>
  <si>
    <r>
      <t xml:space="preserve">რ/ბეტონის გადახურვის ფილის </t>
    </r>
    <r>
      <rPr>
        <sz val="10"/>
        <rFont val="Arial"/>
        <family val="2"/>
      </rPr>
      <t>(კვეთი 1-1,2-2,3-3,4-4 და 5-5)</t>
    </r>
    <r>
      <rPr>
        <b/>
        <sz val="10"/>
        <rFont val="Arial"/>
        <family val="2"/>
      </rPr>
      <t xml:space="preserve"> და ფილის წიბოების </t>
    </r>
    <r>
      <rPr>
        <sz val="10"/>
        <rFont val="Arial"/>
        <family val="2"/>
      </rPr>
      <t xml:space="preserve">(კვეთი 1-1,2-2 და 3-3) </t>
    </r>
    <r>
      <rPr>
        <b/>
        <sz val="10"/>
        <rFont val="Arial"/>
        <family val="2"/>
      </rPr>
      <t>მოწყობა 0.00 ნიშნულზე</t>
    </r>
  </si>
  <si>
    <r>
      <t xml:space="preserve">რ/ბეტონის გადახურვის ფილის </t>
    </r>
    <r>
      <rPr>
        <sz val="10"/>
        <rFont val="Arial"/>
        <family val="2"/>
      </rPr>
      <t>(კვეთი 1-1,2-2,3-3,4-4 და 5-5)</t>
    </r>
    <r>
      <rPr>
        <b/>
        <sz val="10"/>
        <rFont val="Arial"/>
        <family val="2"/>
      </rPr>
      <t xml:space="preserve"> და ფილის წიბოების </t>
    </r>
    <r>
      <rPr>
        <sz val="10"/>
        <rFont val="Arial"/>
        <family val="2"/>
      </rPr>
      <t xml:space="preserve">(კვეთი 1-1,2-2 და 3-3) </t>
    </r>
    <r>
      <rPr>
        <b/>
        <sz val="10"/>
        <rFont val="Arial"/>
        <family val="2"/>
      </rPr>
      <t>მოწყობა +4.20 ნიშნულზე</t>
    </r>
  </si>
  <si>
    <t>2. ლითონის კონსტრუქციების მონტაჟი</t>
  </si>
  <si>
    <t>9-8-1</t>
  </si>
  <si>
    <r>
      <t>მუშათა ხელფასი</t>
    </r>
    <r>
      <rPr>
        <sz val="8"/>
        <rFont val="Arial"/>
        <family val="2"/>
      </rPr>
      <t xml:space="preserve"> (ქუდების დადუღება თავებზე, შველერების შედუღება ფურც. ფოლადით და კავშირების შდუღება საყრდენებზე)</t>
    </r>
  </si>
  <si>
    <t xml:space="preserve">ავტო ამწე </t>
  </si>
  <si>
    <t xml:space="preserve">ელექტროდი </t>
  </si>
  <si>
    <t>სვადასხვა მასალები</t>
  </si>
  <si>
    <t>ქანჩი M-30, 160 ცალი 0.016ტ</t>
  </si>
  <si>
    <t>საყელური M-30, 80 ცალი 0.0184</t>
  </si>
  <si>
    <t>ავტო ამწეს მომსახურება</t>
  </si>
  <si>
    <t>9-10-1</t>
  </si>
  <si>
    <t>სხვადასხვა მასალები</t>
  </si>
  <si>
    <t>მართკუთხა მილი 100მმX100მმX4მმ</t>
  </si>
  <si>
    <t>მართკუთხა მილი 120მმX80მმX4მმ</t>
  </si>
  <si>
    <t>მართკუთხა მილი 80მმX80მმX4მმ</t>
  </si>
  <si>
    <t>ლითონის ფურცელი ზომით 10მმX1665მმX327მმ, 80 ც.</t>
  </si>
  <si>
    <t>ლითონის ფურცელი ზომით 10მმX300მმX250მმ, 40ც.</t>
  </si>
  <si>
    <t>ლითონის ფურცელი ზომით 16მმX300მმX70მმ, 40ც.</t>
  </si>
  <si>
    <t>ლითონის ფურცელი ზომით 10მმX250მმX250მმ, 70ც.</t>
  </si>
  <si>
    <t>შველერი ზომით 160მმX50მმX4მმ L=6000მმ</t>
  </si>
  <si>
    <t>შველერი ზომით 50მმX50მმX4მმ L=6000მმ</t>
  </si>
  <si>
    <t>ლითონის ფურცელი ზომით 10მმX85მმX100მმ, 252ც.</t>
  </si>
  <si>
    <t>ლითონის ფერმების,  1-4 ღერძებში სახურავის კონსტრუქციების, ჰორიზონტალური და ვერტიკალური კავშირების დამზადება ადგილზე, რეგულირება, მორგება მონტაჟი</t>
  </si>
  <si>
    <t>გრუნთან შეხებაში მყოფი კედლების ჰიდროიზოლაცია რულონური მემბრანებით (2 ფენა)</t>
  </si>
  <si>
    <t>რულონური ჰიდროიზოლაცია ქვედა შრე</t>
  </si>
  <si>
    <t>რულონური ჰიდროიზოლაცია ზედა შრე</t>
  </si>
  <si>
    <t>თხევადი აირი</t>
  </si>
  <si>
    <t>.</t>
  </si>
  <si>
    <t>ანტიკოროზიული საღებავი კ=1.5</t>
  </si>
  <si>
    <t>კედლების მოწყობა სენდვიჩ-პანელებით</t>
  </si>
  <si>
    <t>სენდვიპანეები</t>
  </si>
  <si>
    <t>შეადგინა:</t>
  </si>
  <si>
    <t>ლითონის კონსტრუქციების შეღებვა ანტიკოროზიული საღებავით</t>
  </si>
  <si>
    <t>13-18-4</t>
  </si>
  <si>
    <t>გამხსნელი 646</t>
  </si>
  <si>
    <t>ლიტრი</t>
  </si>
  <si>
    <t>9-5-4</t>
  </si>
  <si>
    <t xml:space="preserve">ორტისებრი კოჭი HEA300 </t>
  </si>
  <si>
    <t>სიხისტეის წიბო ზომით 10მმX100მმX100მმ, 444 ცალი</t>
  </si>
  <si>
    <t>სიხისტეის წიბო ზომით 10მმX100მმX50მმ, 444 ცალი</t>
  </si>
  <si>
    <t>საყრდენი ფილა ზომით 20მმX400მმX400მმ, 40 ცალი</t>
  </si>
  <si>
    <t>სადები ფილა ზომით 10მმX400მმX400მმ, 74 ცალი</t>
  </si>
  <si>
    <t>საყრდენი ფილა ზომით 20მმX300მმX300მმ, 40 ცალი</t>
  </si>
  <si>
    <t>ლითონის ფურცელი ზომით 20მმX300მმX300მმ, 34 ცალი</t>
  </si>
  <si>
    <r>
      <t>ლოკალური სახარჯთაღრიცხვო ანგარიში</t>
    </r>
    <r>
      <rPr>
        <b/>
        <sz val="11"/>
        <color indexed="8"/>
        <rFont val="Arial"/>
        <family val="2"/>
      </rPr>
      <t xml:space="preserve">   </t>
    </r>
    <r>
      <rPr>
        <b/>
        <sz val="11"/>
        <color indexed="8"/>
        <rFont val="AcadNusx"/>
      </rPr>
      <t>#-</t>
    </r>
    <r>
      <rPr>
        <b/>
        <sz val="11"/>
        <color indexed="8"/>
        <rFont val="Arial"/>
        <family val="2"/>
      </rPr>
      <t>1</t>
    </r>
  </si>
  <si>
    <r>
      <t xml:space="preserve">ობიექტის დასახელება: </t>
    </r>
    <r>
      <rPr>
        <sz val="10"/>
        <color theme="1"/>
        <rFont val="Arial"/>
        <family val="2"/>
      </rPr>
      <t>შპს „მეღვინეობა ხარება“-ს კუთვნილი სოფ. ვაჩნაძიანის ღინის ქარხანა, ღვინის ჩამოსასხმელი და ადმინისტრაციული შენობა</t>
    </r>
  </si>
  <si>
    <r>
      <rPr>
        <b/>
        <sz val="10"/>
        <color indexed="8"/>
        <rFont val="Arial"/>
        <family val="2"/>
        <charset val="204"/>
      </rPr>
      <t xml:space="preserve">შედგენილია: </t>
    </r>
    <r>
      <rPr>
        <sz val="10"/>
        <color indexed="8"/>
        <rFont val="Arial"/>
        <family val="2"/>
        <charset val="204"/>
      </rPr>
      <t>2021 წლის II კვარტლის საბაზრო ღირებულებების გათვალისწინებით</t>
    </r>
  </si>
  <si>
    <r>
      <t>გადახურვის მოწყობა სენდვიჩ-პანელებით სასწყობე ფართზე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(„4“-„24“ და „ა“-„თ“ ღერძებს შორის)</t>
    </r>
  </si>
  <si>
    <t>ГЭСН                     12-01-023-01</t>
  </si>
  <si>
    <t>100m2</t>
  </si>
  <si>
    <t>sabazro</t>
  </si>
  <si>
    <t>14-44</t>
  </si>
  <si>
    <t>manq.sT.</t>
  </si>
  <si>
    <t>14-321</t>
  </si>
  <si>
    <t>lari</t>
  </si>
  <si>
    <t>1.4-14</t>
  </si>
  <si>
    <t>m2</t>
  </si>
  <si>
    <t>1.9-24</t>
  </si>
  <si>
    <t>cali</t>
  </si>
  <si>
    <r>
      <t>სახურავის ბურულის მოწყობა პროფფენილით საოფისე ფართზე (</t>
    </r>
    <r>
      <rPr>
        <sz val="10"/>
        <rFont val="Arial"/>
        <family val="2"/>
      </rPr>
      <t>„1“-„4“ და „ა“-„თ“ ღერძებს შორის)</t>
    </r>
  </si>
  <si>
    <t>ელექტრობურღი</t>
  </si>
  <si>
    <t>პროფილირებული მოთუთიებული ფოლადის ფურცლები, სისქით 0.55მმ</t>
  </si>
  <si>
    <t>თვითმჭრელი ხრახნებით 4.8X35mm</t>
  </si>
  <si>
    <t xml:space="preserve">საოფისე შენობის შემომზღუდავი კედლების წყობა მცირე სამშენებლო ბლოკით, კედლის სისქით 30სმ </t>
  </si>
  <si>
    <t>8-15-1.</t>
  </si>
  <si>
    <r>
      <t>m</t>
    </r>
    <r>
      <rPr>
        <b/>
        <vertAlign val="superscript"/>
        <sz val="10"/>
        <color theme="1"/>
        <rFont val="AcadNusx"/>
      </rPr>
      <t>3</t>
    </r>
  </si>
  <si>
    <t>SromiTi resursebi</t>
  </si>
  <si>
    <t>manqanebi</t>
  </si>
  <si>
    <t>6-40-17</t>
  </si>
  <si>
    <t>cementis xsnari m75</t>
  </si>
  <si>
    <t>qviSa</t>
  </si>
  <si>
    <t>kub.m.</t>
  </si>
  <si>
    <t xml:space="preserve">cementi </t>
  </si>
  <si>
    <t>t</t>
  </si>
  <si>
    <t>betonis bloki   (39X30X19)</t>
  </si>
  <si>
    <r>
      <t xml:space="preserve">armatura </t>
    </r>
    <r>
      <rPr>
        <sz val="10"/>
        <color theme="1"/>
        <rFont val="Arial"/>
        <family val="2"/>
        <charset val="204"/>
      </rPr>
      <t>A</t>
    </r>
    <r>
      <rPr>
        <sz val="10"/>
        <color theme="1"/>
        <rFont val="AcadNusx"/>
      </rPr>
      <t>-1</t>
    </r>
  </si>
  <si>
    <t>sxva xarjebi</t>
  </si>
  <si>
    <t>სატრანსპორტო ხარჯები მასალის ღირებულებიდან ბეტონის ღირებულების გამოკლებით 5%</t>
  </si>
  <si>
    <t>გეგმიური დაგროვება ----%</t>
  </si>
  <si>
    <t>ზედნადები ხარჯები ----%</t>
  </si>
  <si>
    <t>გრუნტის უკუჩაყრა ბულდოზერით</t>
  </si>
  <si>
    <t>რ/ბეტონის საძირკვლის კონსტრუქციების ქვეშ საფუძვლის მოწყობა ღორღით, ფრაქცია 10-20სმ, სისქით 10სმ</t>
  </si>
  <si>
    <t>ბეტონის მომზადება, ლენტური და წერტილოვანი საძირკვლების ქვეშ, ბეტონით, ბ-7.5</t>
  </si>
  <si>
    <r>
      <t xml:space="preserve">რ/ბეტონის წერტილოვანი საძირკვლის მოწყობა  </t>
    </r>
    <r>
      <rPr>
        <sz val="9"/>
        <rFont val="Arial"/>
        <family val="2"/>
      </rPr>
      <t>(წს1, წს2, წს3 და წს4 სვეტები), ბეტონით ბ-25</t>
    </r>
  </si>
  <si>
    <r>
      <t xml:space="preserve">რ/ბეტონის ლენტური საძირკველის მოწყობა  </t>
    </r>
    <r>
      <rPr>
        <sz val="9"/>
        <rFont val="Arial"/>
        <family val="2"/>
      </rPr>
      <t>(კვეთები 1-1; 2-2; 3-3; 4-4), ბეტონით ბ-25</t>
    </r>
  </si>
  <si>
    <r>
      <t xml:space="preserve">არმატურის ნაშვერების მოწყობა </t>
    </r>
    <r>
      <rPr>
        <sz val="9"/>
        <rFont val="Arial"/>
        <family val="2"/>
      </rPr>
      <t>(ან1 - ან3 ; ფრაგ. 1 - ფრაგ. 5)</t>
    </r>
  </si>
  <si>
    <r>
      <t xml:space="preserve">რ/ბეტონის სვეტების მოწყობა  -5.28 ნიშნულიდან -4.08 ნიშნულამდე </t>
    </r>
    <r>
      <rPr>
        <sz val="9"/>
        <rFont val="Arial"/>
        <family val="2"/>
      </rPr>
      <t>(სვ. 1, სვ. 2 და სვ. 3), ბეტონით ბ-25</t>
    </r>
  </si>
  <si>
    <r>
      <t xml:space="preserve">ჩასატანებელი დეტალების მონტაჟი </t>
    </r>
    <r>
      <rPr>
        <sz val="9"/>
        <rFont val="Arial"/>
        <family val="2"/>
      </rPr>
      <t>(ჩდ-1 სვეტი 1 ზე, 51 ცალი)</t>
    </r>
  </si>
  <si>
    <r>
      <t xml:space="preserve">რ/ბეტონის კედლების მოწყობა -5.28 ნიშნულიდან -4.08 ნიშნულამდე </t>
    </r>
    <r>
      <rPr>
        <sz val="9"/>
        <rFont val="Arial"/>
        <family val="2"/>
        <charset val="204"/>
      </rPr>
      <t>(კვეთი 1-1 -:- 5-5), ბეტონით ბ-25</t>
    </r>
  </si>
  <si>
    <t>რ/ბეტონის ფილის ქვეშ გამასწორებელი ფენის  მოწყობა ღორღით, ფრაქცია 10-20მმ, სისქით 10სმ</t>
  </si>
  <si>
    <r>
      <t xml:space="preserve">ჩასატანებელი დეტალების მონტაჟი </t>
    </r>
    <r>
      <rPr>
        <sz val="9"/>
        <rFont val="Arial"/>
        <family val="2"/>
      </rPr>
      <t>(ჩდ-1 სვეტი 2-ზე, 23 ცალი)</t>
    </r>
  </si>
  <si>
    <t>რ/ბეტონის სვეტების (სვეტი 1-3) მოწყობა -4.08 ნიშნულიდან 0.00 ნიშნულამდე, ბეტონით ბ-25</t>
  </si>
  <si>
    <t>რ/ბეტონის კედლების (კედელი 1-6) მოწყობა -4.08 ნიშნულიდან 0.00 ნუშნულამდე, ბეტონით ბ-25</t>
  </si>
  <si>
    <t>რ/ბეტონის კიბეების (კიბე 1-3) მოწყობა -4.08 ნიშნულზე, ბეტონით ბ-25</t>
  </si>
  <si>
    <t>რ/ბეტონის გადახურვის ფილის (კვეთი 1-1,2-2,3-3,4-4 და 5-5) და ფილის წიბოების (კვეთი 1-1,2-2 და 3-3) მოწყობა 0.00 ნიშნულზე, ბეტონით ბ-25</t>
  </si>
  <si>
    <t>რ/ბეტონის გადახურვის ფილის (კვეთი 1-1,2-2,3-3,4-4 და 5-5) და ფილის წიბოების (კვეთი 1-1,2-2 და 3-3) მოწყობა +4.20 ნიშნულზე, ბეტონით ბ-25</t>
  </si>
  <si>
    <t>იზოლაციის დამცავი მემბრანა (ფონდალაინი)</t>
  </si>
  <si>
    <t xml:space="preserve">გრუნთან შეხებაში მყოფი კედლების ჰიდროიზოლაცია რულონური მემბრანებით ბიტუმზე (2 ფენა) და იზოლაციის დამცავი პლიეთილენის მემბრანის მოწყობა </t>
  </si>
  <si>
    <t>ლითონის სვეტების (სვეტი 1-4) მოწყობა  ორტესებრი კოჭებით HEA300, -4.08 და 0.00 ნიშნულებზე</t>
  </si>
  <si>
    <r>
      <t>m</t>
    </r>
    <r>
      <rPr>
        <vertAlign val="superscript"/>
        <sz val="10"/>
        <color theme="1"/>
        <rFont val="AcadNusx"/>
      </rPr>
      <t>3</t>
    </r>
  </si>
  <si>
    <r>
      <t>გადახურვის მოწყობა სენდვიჩ-პანელებით სასწყობე ფართზე</t>
    </r>
    <r>
      <rPr>
        <sz val="9"/>
        <rFont val="Arial"/>
        <family val="2"/>
      </rPr>
      <t xml:space="preserve"> („4“-„24“ და „ა“-„თ“ ღერძებს შორის)</t>
    </r>
  </si>
  <si>
    <t>სახურავის ბურულის მოწყობა პროფფენილით საოფისე ფართზე („1“-„4“ და „ა“-„თ“ ღერძებს შორის)</t>
  </si>
  <si>
    <t>14.1-2</t>
  </si>
  <si>
    <t>6-1-22; 23</t>
  </si>
  <si>
    <t xml:space="preserve">შედგენილია: </t>
  </si>
  <si>
    <t>ალუმინის კარებებისა და ფანჯრების მოტაჟი სასაწყობო შენობაზე</t>
  </si>
  <si>
    <t>მეტალოპლასტმასის კარებებისა და ფანჯრების მონტაჟი საოფისე შენობაზე</t>
  </si>
  <si>
    <t>მეტალოპლასტმასის კარებები (3 კარი)</t>
  </si>
  <si>
    <t>მეტალოპლასტმასის ფანჯრები (22ფანჯარა)</t>
  </si>
  <si>
    <t>ალუმინის კარებები (3კარი)</t>
  </si>
  <si>
    <t>ალუმინის ფანჯრები 29ფანჯარა)</t>
  </si>
  <si>
    <r>
      <t xml:space="preserve">საერთო სამშენებლო სამუშაოები </t>
    </r>
    <r>
      <rPr>
        <sz val="10"/>
        <rFont val="Arial"/>
        <family val="2"/>
      </rPr>
      <t>(რ/ბეტონის, ლითონის კონსტრუქციების, სენდვიჩპანელების გადახურვისა და ფასადის კედლების მოწყობა, შემომზღუდავი კედლების წყობა მცირე სამშენებლო ბლოკით, ფასადის კარფანჯრების მონტაჟი)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</si>
</sst>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0.0"/>
  </numFmts>
  <fonts count="5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</font>
    <font>
      <sz val="10"/>
      <name val="Arial"/>
      <family val="2"/>
    </font>
    <font>
      <sz val="10"/>
      <name val="Helv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theme="1"/>
      <name val="AcadNusx"/>
    </font>
    <font>
      <sz val="10"/>
      <color indexed="8"/>
      <name val="AcadNusx"/>
    </font>
    <font>
      <b/>
      <sz val="11"/>
      <color indexed="8"/>
      <name val="AcadNusx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b/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cadNusx"/>
    </font>
    <font>
      <b/>
      <sz val="9"/>
      <color theme="1"/>
      <name val="Arial"/>
      <family val="2"/>
      <charset val="204"/>
    </font>
    <font>
      <b/>
      <sz val="11"/>
      <name val="Times New Roman"/>
      <family val="1"/>
    </font>
    <font>
      <sz val="10"/>
      <name val="AcadNusx"/>
    </font>
    <font>
      <sz val="8"/>
      <name val="AcadNusx"/>
    </font>
    <font>
      <sz val="10"/>
      <name val="Calibri"/>
      <family val="2"/>
    </font>
    <font>
      <sz val="8"/>
      <name val="Arial"/>
      <family val="2"/>
      <charset val="204"/>
    </font>
    <font>
      <sz val="11"/>
      <name val="Times New Roman"/>
      <family val="1"/>
    </font>
    <font>
      <sz val="11"/>
      <name val="Times New Roman"/>
      <family val="1"/>
      <charset val="204"/>
    </font>
    <font>
      <b/>
      <sz val="9"/>
      <color theme="1"/>
      <name val="AcadNusx"/>
    </font>
    <font>
      <b/>
      <vertAlign val="superscript"/>
      <sz val="10"/>
      <color theme="1"/>
      <name val="AcadNusx"/>
    </font>
    <font>
      <sz val="9"/>
      <color theme="1"/>
      <name val="Arial"/>
      <family val="2"/>
      <charset val="204"/>
    </font>
    <font>
      <b/>
      <sz val="11"/>
      <color theme="1"/>
      <name val="AcadNusx"/>
    </font>
    <font>
      <sz val="9"/>
      <color theme="1"/>
      <name val="AcadNusx"/>
    </font>
    <font>
      <sz val="10"/>
      <color theme="1"/>
      <name val="AcadNusx"/>
    </font>
    <font>
      <sz val="11"/>
      <color theme="1"/>
      <name val="AcadNusx"/>
    </font>
    <font>
      <sz val="7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theme="1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9" fillId="0" borderId="0"/>
    <xf numFmtId="9" fontId="5" fillId="0" borderId="0" applyFont="0" applyFill="0" applyBorder="0" applyAlignment="0" applyProtection="0"/>
    <xf numFmtId="0" fontId="5" fillId="0" borderId="0"/>
    <xf numFmtId="0" fontId="6" fillId="0" borderId="0"/>
  </cellStyleXfs>
  <cellXfs count="2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0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6" fillId="0" borderId="0" xfId="0" applyFont="1"/>
    <xf numFmtId="0" fontId="7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2" fontId="15" fillId="2" borderId="0" xfId="0" applyNumberFormat="1" applyFont="1" applyFill="1" applyAlignment="1">
      <alignment horizontal="center" vertical="center" wrapText="1"/>
    </xf>
    <xf numFmtId="2" fontId="15" fillId="2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2" fontId="1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1" fillId="0" borderId="1" xfId="5" applyNumberFormat="1" applyFont="1" applyBorder="1" applyAlignment="1">
      <alignment horizontal="center" vertical="center" wrapText="1"/>
    </xf>
    <xf numFmtId="1" fontId="4" fillId="4" borderId="1" xfId="5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1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" fillId="0" borderId="0" xfId="0" applyNumberFormat="1" applyFont="1"/>
    <xf numFmtId="2" fontId="3" fillId="0" borderId="0" xfId="0" applyNumberFormat="1" applyFont="1" applyAlignment="1">
      <alignment horizontal="left" vertical="center" wrapText="1"/>
    </xf>
    <xf numFmtId="2" fontId="1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10" fillId="0" borderId="0" xfId="0" applyNumberFormat="1" applyFont="1"/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/>
    </xf>
    <xf numFmtId="0" fontId="16" fillId="0" borderId="0" xfId="0" applyFont="1" applyFill="1"/>
    <xf numFmtId="0" fontId="7" fillId="0" borderId="1" xfId="2" applyFont="1" applyFill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2" fillId="0" borderId="0" xfId="0" applyFont="1" applyFill="1"/>
    <xf numFmtId="165" fontId="7" fillId="0" borderId="1" xfId="0" applyNumberFormat="1" applyFont="1" applyFill="1" applyBorder="1" applyAlignment="1">
      <alignment horizontal="right" vertical="center" wrapText="1"/>
    </xf>
    <xf numFmtId="9" fontId="7" fillId="2" borderId="1" xfId="4" applyNumberFormat="1" applyFont="1" applyFill="1" applyBorder="1" applyAlignment="1">
      <alignment horizontal="center" vertical="center"/>
    </xf>
    <xf numFmtId="9" fontId="15" fillId="2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right" vertical="center"/>
    </xf>
    <xf numFmtId="165" fontId="15" fillId="0" borderId="1" xfId="1" applyNumberFormat="1" applyFont="1" applyFill="1" applyBorder="1" applyAlignment="1">
      <alignment horizontal="right" vertical="center" wrapText="1"/>
    </xf>
    <xf numFmtId="165" fontId="15" fillId="0" borderId="1" xfId="0" applyNumberFormat="1" applyFont="1" applyBorder="1" applyAlignment="1">
      <alignment horizontal="right" vertical="center" wrapText="1"/>
    </xf>
    <xf numFmtId="165" fontId="15" fillId="0" borderId="1" xfId="0" applyNumberFormat="1" applyFont="1" applyBorder="1"/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7" fillId="0" borderId="1" xfId="1" applyNumberFormat="1" applyFont="1" applyFill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5" fontId="7" fillId="0" borderId="1" xfId="3" applyNumberFormat="1" applyFont="1" applyFill="1" applyBorder="1" applyAlignment="1">
      <alignment horizontal="right" vertical="center" wrapText="1"/>
    </xf>
    <xf numFmtId="165" fontId="7" fillId="2" borderId="1" xfId="3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165" fontId="17" fillId="0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right" vertical="center"/>
    </xf>
    <xf numFmtId="165" fontId="7" fillId="0" borderId="1" xfId="1" applyNumberFormat="1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vertical="center" wrapText="1"/>
    </xf>
    <xf numFmtId="165" fontId="7" fillId="0" borderId="1" xfId="2" applyNumberFormat="1" applyFont="1" applyFill="1" applyBorder="1" applyAlignment="1">
      <alignment horizontal="right" vertical="center" wrapText="1"/>
    </xf>
    <xf numFmtId="165" fontId="17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7" fillId="2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2" fontId="16" fillId="0" borderId="0" xfId="0" applyNumberFormat="1" applyFont="1"/>
    <xf numFmtId="165" fontId="1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1" fillId="0" borderId="1" xfId="5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 wrapText="1"/>
    </xf>
    <xf numFmtId="2" fontId="32" fillId="0" borderId="1" xfId="0" applyNumberFormat="1" applyFont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right" vertical="center" wrapText="1"/>
    </xf>
    <xf numFmtId="0" fontId="33" fillId="0" borderId="0" xfId="0" applyFont="1" applyFill="1"/>
    <xf numFmtId="2" fontId="24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right" vertical="center" wrapText="1"/>
    </xf>
    <xf numFmtId="0" fontId="24" fillId="0" borderId="1" xfId="2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2" fontId="24" fillId="0" borderId="1" xfId="2" applyNumberFormat="1" applyFont="1" applyFill="1" applyBorder="1" applyAlignment="1">
      <alignment horizontal="center" vertical="center" wrapText="1"/>
    </xf>
    <xf numFmtId="2" fontId="24" fillId="0" borderId="1" xfId="1" applyNumberFormat="1" applyFont="1" applyFill="1" applyBorder="1" applyAlignment="1">
      <alignment horizontal="right" vertical="center" wrapText="1"/>
    </xf>
    <xf numFmtId="2" fontId="24" fillId="0" borderId="1" xfId="2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2" fontId="24" fillId="0" borderId="1" xfId="3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2" fontId="24" fillId="2" borderId="1" xfId="3" applyNumberFormat="1" applyFont="1" applyFill="1" applyBorder="1" applyAlignment="1">
      <alignment horizontal="right" vertical="center" wrapText="1"/>
    </xf>
    <xf numFmtId="2" fontId="24" fillId="2" borderId="1" xfId="0" applyNumberFormat="1" applyFont="1" applyFill="1" applyBorder="1" applyAlignment="1">
      <alignment horizontal="right" vertical="center" wrapText="1"/>
    </xf>
    <xf numFmtId="0" fontId="38" fillId="2" borderId="0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39" fillId="0" borderId="0" xfId="0" applyFont="1" applyFill="1"/>
    <xf numFmtId="0" fontId="24" fillId="2" borderId="1" xfId="0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0" fillId="0" borderId="1" xfId="6" applyFont="1" applyFill="1" applyBorder="1" applyAlignment="1">
      <alignment horizontal="center" vertical="center" wrapText="1"/>
    </xf>
    <xf numFmtId="0" fontId="21" fillId="0" borderId="1" xfId="6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42" fillId="0" borderId="1" xfId="6" applyNumberFormat="1" applyFont="1" applyFill="1" applyBorder="1" applyAlignment="1">
      <alignment horizontal="center" vertical="center" wrapText="1"/>
    </xf>
    <xf numFmtId="2" fontId="42" fillId="0" borderId="1" xfId="0" applyNumberFormat="1" applyFont="1" applyFill="1" applyBorder="1" applyAlignment="1">
      <alignment horizontal="right" vertical="center" wrapText="1"/>
    </xf>
    <xf numFmtId="2" fontId="42" fillId="0" borderId="1" xfId="0" applyNumberFormat="1" applyFont="1" applyBorder="1" applyAlignment="1">
      <alignment horizontal="right" vertical="center" wrapText="1"/>
    </xf>
    <xf numFmtId="0" fontId="43" fillId="0" borderId="0" xfId="0" applyFont="1"/>
    <xf numFmtId="0" fontId="44" fillId="0" borderId="1" xfId="6" applyFont="1" applyFill="1" applyBorder="1" applyAlignment="1">
      <alignment horizontal="center" vertical="center" wrapText="1"/>
    </xf>
    <xf numFmtId="0" fontId="45" fillId="0" borderId="1" xfId="6" applyFont="1" applyFill="1" applyBorder="1" applyAlignment="1">
      <alignment horizontal="left" vertical="center" wrapText="1"/>
    </xf>
    <xf numFmtId="0" fontId="45" fillId="0" borderId="1" xfId="6" applyFont="1" applyFill="1" applyBorder="1" applyAlignment="1">
      <alignment horizontal="center" vertical="center" wrapText="1"/>
    </xf>
    <xf numFmtId="2" fontId="42" fillId="0" borderId="1" xfId="6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6" fillId="0" borderId="0" xfId="0" applyFont="1" applyFill="1"/>
    <xf numFmtId="0" fontId="21" fillId="0" borderId="1" xfId="6" applyFont="1" applyFill="1" applyBorder="1" applyAlignment="1">
      <alignment horizontal="center" vertical="center" wrapText="1"/>
    </xf>
    <xf numFmtId="2" fontId="47" fillId="0" borderId="1" xfId="6" applyNumberFormat="1" applyFont="1" applyFill="1" applyBorder="1" applyAlignment="1">
      <alignment horizontal="center" vertical="center" wrapText="1"/>
    </xf>
    <xf numFmtId="0" fontId="45" fillId="0" borderId="1" xfId="6" applyFont="1" applyFill="1" applyBorder="1" applyAlignment="1">
      <alignment horizontal="center" vertical="center"/>
    </xf>
    <xf numFmtId="0" fontId="46" fillId="0" borderId="0" xfId="0" applyFont="1"/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Fill="1" applyBorder="1"/>
    <xf numFmtId="165" fontId="7" fillId="0" borderId="1" xfId="0" applyNumberFormat="1" applyFont="1" applyBorder="1"/>
    <xf numFmtId="2" fontId="4" fillId="0" borderId="0" xfId="0" applyNumberFormat="1" applyFont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2" fontId="42" fillId="0" borderId="1" xfId="0" applyNumberFormat="1" applyFont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2" fontId="12" fillId="0" borderId="0" xfId="0" applyNumberFormat="1" applyFont="1"/>
    <xf numFmtId="2" fontId="1" fillId="0" borderId="1" xfId="5" applyNumberFormat="1" applyFont="1" applyBorder="1" applyAlignment="1">
      <alignment horizontal="center" vertical="center" wrapText="1"/>
    </xf>
    <xf numFmtId="0" fontId="22" fillId="0" borderId="1" xfId="5" applyFont="1" applyBorder="1" applyAlignment="1">
      <alignment horizontal="center" vertical="center" wrapText="1"/>
    </xf>
    <xf numFmtId="0" fontId="1" fillId="0" borderId="1" xfId="5" applyFont="1" applyBorder="1" applyAlignment="1">
      <alignment horizontal="center" vertical="center" wrapText="1"/>
    </xf>
    <xf numFmtId="0" fontId="30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horizontal="right" vertical="center" wrapText="1"/>
    </xf>
    <xf numFmtId="2" fontId="4" fillId="2" borderId="1" xfId="5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</cellXfs>
  <cellStyles count="7">
    <cellStyle name="Comma" xfId="1" builtinId="3"/>
    <cellStyle name="Normal" xfId="0" builtinId="0"/>
    <cellStyle name="Normal 13 5" xfId="5" xr:uid="{00000000-0005-0000-0000-000002000000}"/>
    <cellStyle name="Normal 4" xfId="2" xr:uid="{00000000-0005-0000-0000-000003000000}"/>
    <cellStyle name="Percent" xfId="4" builtinId="5"/>
    <cellStyle name="Style 1" xfId="3" xr:uid="{00000000-0005-0000-0000-000005000000}"/>
    <cellStyle name="Обычный 5 2 2" xfId="6" xr:uid="{00000000-0005-0000-0000-000006000000}"/>
  </cellStyles>
  <dxfs count="0"/>
  <tableStyles count="0" defaultTableStyle="TableStyleMedium2" defaultPivotStyle="PivotStyleLight16"/>
  <colors>
    <mruColors>
      <color rgb="FFDCF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" name="Text Box 38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" name="Text Box 38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4" name="Text Box 38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5" name="Text Box 38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6" name="Text Box 38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7" name="Text Box 38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8" name="Text Box 38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9" name="Text Box 38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0" name="Text Box 38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1" name="Text Box 38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2" name="Text Box 38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3" name="Text Box 38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4" name="Text Box 38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5" name="Text Box 38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6" name="Text Box 38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7" name="Text Box 38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8" name="Text Box 38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9" name="Text Box 38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0" name="Text Box 38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1" name="Text Box 38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2" name="Text Box 38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3" name="Text Box 38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4" name="Text Box 38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5" name="Text Box 38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6" name="Text Box 38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7" name="Text Box 38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8" name="Text Box 38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9" name="Text Box 38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0" name="Text Box 38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1" name="Text Box 38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2" name="Text Box 38" hidden="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3" name="Text Box 38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4" name="Text Box 38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5" name="Text Box 38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6" name="Text Box 38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7" name="Text Box 38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8" name="Text Box 38" hidden="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9" name="Text Box 38" hidden="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40" name="Text Box 38" hidden="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41" name="Text Box 38" hidden="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42" name="Text Box 38" hidden="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43" name="Text Box 38" hidden="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44" name="Text Box 38" hidden="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45" name="Text Box 38" hidden="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46" name="Text Box 38" hidden="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47" name="Text Box 38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48" name="Text Box 38" hidden="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49" name="Text Box 38" hidden="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50" name="Text Box 38" hidden="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51" name="Text Box 38" hidden="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52" name="Text Box 38" hidden="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53" name="Text Box 38" hidden="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54" name="Text Box 38" hidden="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55" name="Text Box 38" hidden="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56" name="Text Box 38" hidden="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57" name="Text Box 38" hidden="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58" name="Text Box 38" hidden="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59" name="Text Box 38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60" name="Text Box 38" hidden="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61" name="Text Box 38" hidden="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62" name="Text Box 38" hidden="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63" name="Text Box 38" hidden="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64" name="Text Box 38" hidden="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65" name="Text Box 38" hidden="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66" name="Text Box 38" hidden="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67" name="Text Box 38" hidden="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68" name="Text Box 38" hidden="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69" name="Text Box 38" hidden="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70" name="Text Box 38" hidden="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71" name="Text Box 38" hidden="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72" name="Text Box 38" hidden="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73" name="Text Box 38" hidden="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74" name="Text Box 38" hidden="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75" name="Text Box 38" hidden="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76" name="Text Box 38" hidden="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77" name="Text Box 38" hidden="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78" name="Text Box 38" hidden="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79" name="Text Box 38" hidden="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80" name="Text Box 38" hidden="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81" name="Text Box 38" hidden="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82" name="Text Box 38" hidden="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83" name="Text Box 38" hidden="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84" name="Text Box 38" hidden="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85" name="Text Box 38" hidden="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86" name="Text Box 38" hidden="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87" name="Text Box 38" hidden="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88" name="Text Box 38" hidden="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89" name="Text Box 38" hidden="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90" name="Text Box 38" hidden="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91" name="Text Box 38" hidden="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92" name="Text Box 38" hidden="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93" name="Text Box 38" hidden="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94" name="Text Box 38" hidden="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95" name="Text Box 38" hidden="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96" name="Text Box 38" hidden="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97" name="Text Box 38" hidden="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98" name="Text Box 38" hidden="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99" name="Text Box 38" hidden="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00" name="Text Box 38" hidden="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01" name="Text Box 38" hidden="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02" name="Text Box 38" hidden="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03" name="Text Box 38" hidden="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04" name="Text Box 38" hidden="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05" name="Text Box 38" hidden="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06" name="Text Box 38" hidden="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07" name="Text Box 38" hidden="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08" name="Text Box 38" hidden="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09" name="Text Box 38" hidden="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10" name="Text Box 38" hidden="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11" name="Text Box 38" hidden="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12" name="Text Box 38" hidden="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13" name="Text Box 38" hidden="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14" name="Text Box 38" hidden="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15" name="Text Box 38" hidden="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16" name="Text Box 38" hidden="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17" name="Text Box 38" hidden="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18" name="Text Box 38" hidden="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19" name="Text Box 38" hidden="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20" name="Text Box 38" hidden="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21" name="Text Box 38" hidden="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22" name="Text Box 38" hidden="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23" name="Text Box 38" hidden="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24" name="Text Box 38" hidden="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25" name="Text Box 38" hidden="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26" name="Text Box 38" hidden="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27" name="Text Box 38" hidden="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28" name="Text Box 38" hidden="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29" name="Text Box 38" hidden="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30" name="Text Box 38" hidden="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31" name="Text Box 38" hidden="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32" name="Text Box 38" hidden="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33" name="Text Box 38" hidden="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34" name="Text Box 38" hidden="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35" name="Text Box 38" hidden="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36" name="Text Box 38" hidden="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37" name="Text Box 38" hidden="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38" name="Text Box 38" hidden="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39" name="Text Box 38" hidden="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40" name="Text Box 38" hidden="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41" name="Text Box 38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42" name="Text Box 38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43" name="Text Box 38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44" name="Text Box 38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45" name="Text Box 38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46" name="Text Box 38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47" name="Text Box 38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48" name="Text Box 38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49" name="Text Box 38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50" name="Text Box 38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51" name="Text Box 38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52" name="Text Box 38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53" name="Text Box 38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54" name="Text Box 38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55" name="Text Box 38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56" name="Text Box 38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57" name="Text Box 38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58" name="Text Box 38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59" name="Text Box 38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60" name="Text Box 38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61" name="Text Box 38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62" name="Text Box 38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63" name="Text Box 38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64" name="Text Box 38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65" name="Text Box 38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66" name="Text Box 38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67" name="Text Box 38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68" name="Text Box 38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69" name="Text Box 38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70" name="Text Box 38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71" name="Text Box 38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72" name="Text Box 38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73" name="Text Box 38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74" name="Text Box 38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75" name="Text Box 38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76" name="Text Box 38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77" name="Text Box 38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78" name="Text Box 38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79" name="Text Box 38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80" name="Text Box 38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81" name="Text Box 38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82" name="Text Box 38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83" name="Text Box 38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84" name="Text Box 38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85" name="Text Box 38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86" name="Text Box 38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87" name="Text Box 38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88" name="Text Box 38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89" name="Text Box 38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90" name="Text Box 38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91" name="Text Box 38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92" name="Text Box 38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93" name="Text Box 38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94" name="Text Box 38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95" name="Text Box 38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96" name="Text Box 38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97" name="Text Box 38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98" name="Text Box 38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99" name="Text Box 38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00" name="Text Box 38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01" name="Text Box 38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02" name="Text Box 38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03" name="Text Box 38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04" name="Text Box 38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05" name="Text Box 38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06" name="Text Box 38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07" name="Text Box 38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08" name="Text Box 38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09" name="Text Box 38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10" name="Text Box 38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11" name="Text Box 38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12" name="Text Box 38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13" name="Text Box 38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14" name="Text Box 38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15" name="Text Box 38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16" name="Text Box 38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17" name="Text Box 38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18" name="Text Box 38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19" name="Text Box 38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20" name="Text Box 38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21" name="Text Box 38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22" name="Text Box 38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23" name="Text Box 38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24" name="Text Box 38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25" name="Text Box 38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26" name="Text Box 38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27" name="Text Box 38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28" name="Text Box 38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29" name="Text Box 38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30" name="Text Box 38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31" name="Text Box 38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32" name="Text Box 38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33" name="Text Box 38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34" name="Text Box 3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35" name="Text Box 38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36" name="Text Box 38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37" name="Text Box 38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38" name="Text Box 38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39" name="Text Box 38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40" name="Text Box 38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41" name="Text Box 38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42" name="Text Box 38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43" name="Text Box 3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44" name="Text Box 38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45" name="Text Box 38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46" name="Text Box 38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47" name="Text Box 38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48" name="Text Box 38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49" name="Text Box 38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50" name="Text Box 38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51" name="Text Box 38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52" name="Text Box 3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53" name="Text Box 38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54" name="Text Box 38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55" name="Text Box 38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56" name="Text Box 38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57" name="Text Box 38" hidden="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58" name="Text Box 38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59" name="Text Box 38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60" name="Text Box 38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61" name="Text Box 38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62" name="Text Box 38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63" name="Text Box 38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64" name="Text Box 38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65" name="Text Box 38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66" name="Text Box 38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67" name="Text Box 38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68" name="Text Box 38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69" name="Text Box 38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70" name="Text Box 38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71" name="Text Box 38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72" name="Text Box 38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73" name="Text Box 38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74" name="Text Box 38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75" name="Text Box 38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76" name="Text Box 38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77" name="Text Box 38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78" name="Text Box 38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79" name="Text Box 38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80" name="Text Box 38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81" name="Text Box 3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82" name="Text Box 38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83" name="Text Box 38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84" name="Text Box 38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85" name="Text Box 38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86" name="Text Box 38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87" name="Text Box 38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88" name="Text Box 38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89" name="Text Box 38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90" name="Text Box 3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91" name="Text Box 38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92" name="Text Box 38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93" name="Text Box 38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94" name="Text Box 38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95" name="Text Box 38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96" name="Text Box 3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97" name="Text Box 38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98" name="Text Box 38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99" name="Text Box 38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00" name="Text Box 38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01" name="Text Box 38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02" name="Text Box 38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03" name="Text Box 38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04" name="Text Box 38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05" name="Text Box 38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06" name="Text Box 3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07" name="Text Box 38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08" name="Text Box 38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09" name="Text Box 38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10" name="Text Box 38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11" name="Text Box 38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12" name="Text Box 3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13" name="Text Box 38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14" name="Text Box 38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15" name="Text Box 38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16" name="Text Box 38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17" name="Text Box 38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18" name="Text Box 38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19" name="Text Box 38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20" name="Text Box 38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21" name="Text Box 38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22" name="Text Box 3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23" name="Text Box 38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24" name="Text Box 38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25" name="Text Box 38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26" name="Text Box 38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27" name="Text Box 38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28" name="Text Box 38" hidden="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29" name="Text Box 38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30" name="Text Box 38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31" name="Text Box 38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32" name="Text Box 38" hidden="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33" name="Text Box 38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34" name="Text Box 38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35" name="Text Box 38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36" name="Text Box 38" hidden="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37" name="Text Box 38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38" name="Text Box 38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39" name="Text Box 38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40" name="Text Box 38" hidden="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41" name="Text Box 38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42" name="Text Box 38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43" name="Text Box 38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44" name="Text Box 38" hidden="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45" name="Text Box 38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46" name="Text Box 38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47" name="Text Box 38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48" name="Text Box 38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49" name="Text Box 38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50" name="Text Box 38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51" name="Text Box 38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52" name="Text Box 3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53" name="Text Box 38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54" name="Text Box 38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55" name="Text Box 38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56" name="Text Box 38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57" name="Text Box 38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58" name="Text Box 38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59" name="Text Box 38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60" name="Text Box 38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61" name="Text Box 38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62" name="Text Box 3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63" name="Text Box 38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64" name="Text Box 38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65" name="Text Box 38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66" name="Text Box 38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67" name="Text Box 38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68" name="Text Box 38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69" name="Text Box 38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70" name="Text Box 38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71" name="Text Box 38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72" name="Text Box 38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73" name="Text Box 38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74" name="Text Box 38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75" name="Text Box 38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76" name="Text Box 38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77" name="Text Box 38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78" name="Text Box 38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79" name="Text Box 38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80" name="Text Box 38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81" name="Text Box 38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82" name="Text Box 38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83" name="Text Box 38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84" name="Text Box 38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85" name="Text Box 38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04875" y="22812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" name="Text Box 38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" name="Text Box 38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4" name="Text Box 38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5" name="Text Box 38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6" name="Text Box 38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7" name="Text Box 38" hidden="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8" name="Text Box 38" hidden="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9" name="Text Box 38" hidden="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0" name="Text Box 38" hidden="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1" name="Text Box 38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2" name="Text Box 38" hidden="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3" name="Text Box 38" hidden="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4" name="Text Box 38" hidden="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5" name="Text Box 38" hidden="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6" name="Text Box 38" hidden="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7" name="Text Box 38" hidden="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8" name="Text Box 38" hidden="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9" name="Text Box 38" hidden="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0" name="Text Box 38" hidden="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1" name="Text Box 38" hidden="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2" name="Text Box 38" hidden="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3" name="Text Box 38" hidden="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4" name="Text Box 38" hidden="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5" name="Text Box 38" hidden="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6" name="Text Box 38" hidden="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7" name="Text Box 38" hidden="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8" name="Text Box 38" hidden="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9" name="Text Box 38" hidden="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0" name="Text Box 38" hidden="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1" name="Text Box 38" hidden="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2" name="Text Box 38" hidden="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3" name="Text Box 38" hidden="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4" name="Text Box 38" hidden="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5" name="Text Box 38" hidden="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6" name="Text Box 38" hidden="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7" name="Text Box 38" hidden="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8" name="Text Box 38" hidden="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9" name="Text Box 38" hidden="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40" name="Text Box 38" hidden="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41" name="Text Box 38" hidden="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42" name="Text Box 38" hidden="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43" name="Text Box 38" hidden="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44" name="Text Box 38" hidden="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45" name="Text Box 38" hidden="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46" name="Text Box 38" hidden="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47" name="Text Box 38" hidden="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48" name="Text Box 38" hidden="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49" name="Text Box 38" hidden="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50" name="Text Box 38" hidden="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51" name="Text Box 38" hidden="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52" name="Text Box 38" hidden="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53" name="Text Box 38" hidden="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54" name="Text Box 38" hidden="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55" name="Text Box 38" hidden="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56" name="Text Box 38" hidden="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57" name="Text Box 38" hidden="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58" name="Text Box 38" hidden="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59" name="Text Box 38" hidden="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60" name="Text Box 38" hidden="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61" name="Text Box 38" hidden="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62" name="Text Box 38" hidden="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63" name="Text Box 38" hidden="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64" name="Text Box 38" hidden="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65" name="Text Box 38" hidden="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66" name="Text Box 38" hidden="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67" name="Text Box 38" hidden="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68" name="Text Box 38" hidden="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69" name="Text Box 38" hidden="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70" name="Text Box 38" hidden="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71" name="Text Box 38" hidden="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72" name="Text Box 38" hidden="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73" name="Text Box 38" hidden="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74" name="Text Box 38" hidden="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75" name="Text Box 38" hidden="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76" name="Text Box 38" hidden="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77" name="Text Box 38" hidden="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78" name="Text Box 38" hidden="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79" name="Text Box 38" hidden="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80" name="Text Box 38" hidden="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81" name="Text Box 38" hidden="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82" name="Text Box 38" hidden="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83" name="Text Box 38" hidden="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84" name="Text Box 38" hidden="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85" name="Text Box 38" hidden="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86" name="Text Box 38" hidden="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87" name="Text Box 38" hidden="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88" name="Text Box 38" hidden="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89" name="Text Box 38" hidden="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90" name="Text Box 38" hidden="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91" name="Text Box 38" hidden="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92" name="Text Box 38" hidden="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93" name="Text Box 38" hidden="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94" name="Text Box 38" hidden="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95" name="Text Box 38" hidden="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96" name="Text Box 38" hidden="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97" name="Text Box 38" hidden="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98" name="Text Box 38" hidden="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99" name="Text Box 38" hidden="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00" name="Text Box 38" hidden="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01" name="Text Box 38" hidden="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02" name="Text Box 38" hidden="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03" name="Text Box 38" hidden="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04" name="Text Box 38" hidden="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05" name="Text Box 38" hidden="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06" name="Text Box 38" hidden="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07" name="Text Box 38" hidden="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08" name="Text Box 38" hidden="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09" name="Text Box 38" hidden="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10" name="Text Box 38" hidden="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11" name="Text Box 38" hidden="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12" name="Text Box 38" hidden="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13" name="Text Box 38" hidden="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14" name="Text Box 38" hidden="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15" name="Text Box 38" hidden="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16" name="Text Box 38" hidden="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17" name="Text Box 38" hidden="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18" name="Text Box 38" hidden="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19" name="Text Box 38" hidden="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20" name="Text Box 38" hidden="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21" name="Text Box 38" hidden="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22" name="Text Box 38" hidden="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23" name="Text Box 38" hidden="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24" name="Text Box 38" hidden="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25" name="Text Box 38" hidden="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26" name="Text Box 38" hidden="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27" name="Text Box 38" hidden="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28" name="Text Box 38" hidden="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29" name="Text Box 38" hidden="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30" name="Text Box 38" hidden="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31" name="Text Box 38" hidden="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32" name="Text Box 38" hidden="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33" name="Text Box 38" hidden="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34" name="Text Box 38" hidden="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35" name="Text Box 38" hidden="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36" name="Text Box 38" hidden="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37" name="Text Box 38" hidden="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38" name="Text Box 38" hidden="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39" name="Text Box 38" hidden="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40" name="Text Box 38" hidden="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41" name="Text Box 38" hidden="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42" name="Text Box 38" hidden="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43" name="Text Box 38" hidden="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44" name="Text Box 38" hidden="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45" name="Text Box 38" hidden="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46" name="Text Box 38" hidden="1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47" name="Text Box 38" hidden="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48" name="Text Box 38" hidden="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49" name="Text Box 38" hidden="1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50" name="Text Box 38" hidden="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51" name="Text Box 38" hidden="1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52" name="Text Box 38" hidden="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53" name="Text Box 38" hidden="1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54" name="Text Box 38" hidden="1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55" name="Text Box 38" hidden="1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56" name="Text Box 38" hidden="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57" name="Text Box 38" hidden="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58" name="Text Box 38" hidden="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59" name="Text Box 38" hidden="1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60" name="Text Box 38" hidden="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61" name="Text Box 38" hidden="1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62" name="Text Box 38" hidden="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63" name="Text Box 38" hidden="1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64" name="Text Box 38" hidden="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65" name="Text Box 38" hidden="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66" name="Text Box 38" hidden="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67" name="Text Box 38" hidden="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68" name="Text Box 38" hidden="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69" name="Text Box 38" hidden="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70" name="Text Box 38" hidden="1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71" name="Text Box 38" hidden="1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72" name="Text Box 38" hidden="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73" name="Text Box 38" hidden="1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74" name="Text Box 38" hidden="1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75" name="Text Box 38" hidden="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76" name="Text Box 38" hidden="1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77" name="Text Box 38" hidden="1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78" name="Text Box 38" hidden="1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79" name="Text Box 38" hidden="1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80" name="Text Box 38" hidden="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81" name="Text Box 38" hidden="1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82" name="Text Box 38" hidden="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83" name="Text Box 38" hidden="1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84" name="Text Box 38" hidden="1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85" name="Text Box 38" hidden="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86" name="Text Box 38" hidden="1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87" name="Text Box 38" hidden="1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88" name="Text Box 38" hidden="1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89" name="Text Box 38" hidden="1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90" name="Text Box 38" hidden="1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91" name="Text Box 38" hidden="1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92" name="Text Box 38" hidden="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93" name="Text Box 38" hidden="1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94" name="Text Box 38" hidden="1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95" name="Text Box 38" hidden="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96" name="Text Box 38" hidden="1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97" name="Text Box 38" hidden="1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198" name="Text Box 38" hidden="1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199" name="Text Box 38" hidden="1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00" name="Text Box 38" hidden="1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01" name="Text Box 38" hidden="1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02" name="Text Box 38" hidden="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03" name="Text Box 38" hidden="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04" name="Text Box 38" hidden="1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05" name="Text Box 38" hidden="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06" name="Text Box 38" hidden="1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07" name="Text Box 38" hidden="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08" name="Text Box 38" hidden="1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09" name="Text Box 38" hidden="1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10" name="Text Box 38" hidden="1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11" name="Text Box 38" hidden="1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12" name="Text Box 38" hidden="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13" name="Text Box 38" hidden="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14" name="Text Box 38" hidden="1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15" name="Text Box 38" hidden="1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16" name="Text Box 38" hidden="1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17" name="Text Box 38" hidden="1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18" name="Text Box 38" hidden="1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19" name="Text Box 38" hidden="1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20" name="Text Box 38" hidden="1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21" name="Text Box 38" hidden="1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22" name="Text Box 38" hidden="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23" name="Text Box 38" hidden="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24" name="Text Box 38" hidden="1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25" name="Text Box 38" hidden="1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26" name="Text Box 38" hidden="1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27" name="Text Box 38" hidden="1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28" name="Text Box 38" hidden="1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29" name="Text Box 38" hidden="1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30" name="Text Box 38" hidden="1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31" name="Text Box 38" hidden="1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32" name="Text Box 38" hidden="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33" name="Text Box 38" hidden="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34" name="Text Box 38" hidden="1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35" name="Text Box 38" hidden="1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36" name="Text Box 38" hidden="1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37" name="Text Box 38" hidden="1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38" name="Text Box 38" hidden="1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39" name="Text Box 38" hidden="1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40" name="Text Box 38" hidden="1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41" name="Text Box 38" hidden="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42" name="Text Box 38" hidden="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43" name="Text Box 38" hidden="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44" name="Text Box 38" hidden="1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45" name="Text Box 38" hidden="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46" name="Text Box 38" hidden="1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47" name="Text Box 38" hidden="1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48" name="Text Box 38" hidden="1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49" name="Text Box 38" hidden="1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50" name="Text Box 38" hidden="1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51" name="Text Box 38" hidden="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52" name="Text Box 38" hidden="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53" name="Text Box 38" hidden="1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54" name="Text Box 38" hidden="1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55" name="Text Box 38" hidden="1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56" name="Text Box 38" hidden="1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57" name="Text Box 38" hidden="1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58" name="Text Box 38" hidden="1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59" name="Text Box 38" hidden="1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60" name="Text Box 38" hidden="1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61" name="Text Box 38" hidden="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62" name="Text Box 38" hidden="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63" name="Text Box 38" hidden="1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64" name="Text Box 38" hidden="1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65" name="Text Box 38" hidden="1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66" name="Text Box 38" hidden="1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67" name="Text Box 38" hidden="1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68" name="Text Box 38" hidden="1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69" name="Text Box 38" hidden="1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70" name="Text Box 38" hidden="1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71" name="Text Box 38" hidden="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72" name="Text Box 38" hidden="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73" name="Text Box 38" hidden="1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74" name="Text Box 38" hidden="1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75" name="Text Box 38" hidden="1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76" name="Text Box 38" hidden="1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77" name="Text Box 38" hidden="1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78" name="Text Box 38" hidden="1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79" name="Text Box 38" hidden="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80" name="Text Box 38" hidden="1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81" name="Text Box 38" hidden="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82" name="Text Box 38" hidden="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83" name="Text Box 38" hidden="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84" name="Text Box 38" hidden="1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85" name="Text Box 38" hidden="1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86" name="Text Box 38" hidden="1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87" name="Text Box 38" hidden="1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88" name="Text Box 38" hidden="1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89" name="Text Box 38" hidden="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90" name="Text Box 38" hidden="1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91" name="Text Box 38" hidden="1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92" name="Text Box 38" hidden="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93" name="Text Box 38" hidden="1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94" name="Text Box 38" hidden="1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95" name="Text Box 38" hidden="1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96" name="Text Box 38" hidden="1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97" name="Text Box 38" hidden="1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298" name="Text Box 38" hidden="1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299" name="Text Box 38" hidden="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00" name="Text Box 38" hidden="1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01" name="Text Box 38" hidden="1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02" name="Text Box 38" hidden="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03" name="Text Box 38" hidden="1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04" name="Text Box 38" hidden="1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05" name="Text Box 38" hidden="1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06" name="Text Box 38" hidden="1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07" name="Text Box 38" hidden="1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08" name="Text Box 38" hidden="1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09" name="Text Box 38" hidden="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10" name="Text Box 38" hidden="1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11" name="Text Box 38" hidden="1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12" name="Text Box 38" hidden="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13" name="Text Box 38" hidden="1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14" name="Text Box 38" hidden="1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15" name="Text Box 38" hidden="1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16" name="Text Box 38" hidden="1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17" name="Text Box 38" hidden="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18" name="Text Box 38" hidden="1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19" name="Text Box 38" hidden="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20" name="Text Box 38" hidden="1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21" name="Text Box 38" hidden="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22" name="Text Box 38" hidden="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23" name="Text Box 38" hidden="1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24" name="Text Box 38" hidden="1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25" name="Text Box 38" hidden="1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26" name="Text Box 38" hidden="1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27" name="Text Box 38" hidden="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28" name="Text Box 38" hidden="1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29" name="Text Box 38" hidden="1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30" name="Text Box 38" hidden="1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31" name="Text Box 38" hidden="1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32" name="Text Box 38" hidden="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33" name="Text Box 38" hidden="1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34" name="Text Box 38" hidden="1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35" name="Text Box 38" hidden="1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36" name="Text Box 38" hidden="1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37" name="Text Box 38" hidden="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38" name="Text Box 38" hidden="1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39" name="Text Box 38" hidden="1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40" name="Text Box 38" hidden="1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41" name="Text Box 38" hidden="1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42" name="Text Box 38" hidden="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43" name="Text Box 38" hidden="1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44" name="Text Box 38" hidden="1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45" name="Text Box 38" hidden="1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46" name="Text Box 38" hidden="1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47" name="Text Box 38" hidden="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48" name="Text Box 38" hidden="1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49" name="Text Box 38" hidden="1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50" name="Text Box 38" hidden="1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51" name="Text Box 38" hidden="1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52" name="Text Box 38" hidden="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53" name="Text Box 38" hidden="1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54" name="Text Box 38" hidden="1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55" name="Text Box 38" hidden="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56" name="Text Box 38" hidden="1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57" name="Text Box 38" hidden="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58" name="Text Box 38" hidden="1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59" name="Text Box 38" hidden="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60" name="Text Box 38" hidden="1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61" name="Text Box 38" hidden="1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62" name="Text Box 38" hidden="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63" name="Text Box 38" hidden="1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64" name="Text Box 38" hidden="1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65" name="Text Box 38" hidden="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66" name="Text Box 38" hidden="1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67" name="Text Box 38" hidden="1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68" name="Text Box 38" hidden="1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69" name="Text Box 38" hidden="1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70" name="Text Box 38" hidden="1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71" name="Text Box 38" hidden="1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72" name="Text Box 38" hidden="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73" name="Text Box 38" hidden="1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74" name="Text Box 38" hidden="1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75" name="Text Box 38" hidden="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76" name="Text Box 38" hidden="1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77" name="Text Box 38" hidden="1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78" name="Text Box 38" hidden="1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79" name="Text Box 38" hidden="1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80" name="Text Box 38" hidden="1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81" name="Text Box 38" hidden="1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82" name="Text Box 38" hidden="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83" name="Text Box 38" hidden="1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47650"/>
    <xdr:sp macro="" textlink="">
      <xdr:nvSpPr>
        <xdr:cNvPr id="384" name="Text Box 38" hidden="1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311</xdr:row>
      <xdr:rowOff>0</xdr:rowOff>
    </xdr:from>
    <xdr:ext cx="76200" cy="266700"/>
    <xdr:sp macro="" textlink="">
      <xdr:nvSpPr>
        <xdr:cNvPr id="385" name="Text Box 38" hidden="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847725" y="841152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23"/>
  <sheetViews>
    <sheetView view="pageBreakPreview" zoomScaleNormal="100" zoomScaleSheetLayoutView="100" workbookViewId="0">
      <selection activeCell="A6" sqref="A6:M6"/>
    </sheetView>
  </sheetViews>
  <sheetFormatPr defaultRowHeight="14.25" x14ac:dyDescent="0.2"/>
  <cols>
    <col min="1" max="1" width="5" style="4" customWidth="1"/>
    <col min="2" max="2" width="7.7109375" style="4" customWidth="1"/>
    <col min="3" max="3" width="42.5703125" style="4" customWidth="1"/>
    <col min="4" max="4" width="6.7109375" style="4" customWidth="1"/>
    <col min="5" max="5" width="7.140625" style="4" customWidth="1"/>
    <col min="6" max="6" width="7.140625" style="72" customWidth="1"/>
    <col min="7" max="7" width="6.140625" style="4" customWidth="1"/>
    <col min="8" max="8" width="8.28515625" style="4" customWidth="1"/>
    <col min="9" max="9" width="6.5703125" style="4" customWidth="1"/>
    <col min="10" max="10" width="9.28515625" style="4" customWidth="1"/>
    <col min="11" max="11" width="5.85546875" style="4" customWidth="1"/>
    <col min="12" max="12" width="8.28515625" style="4" customWidth="1"/>
    <col min="13" max="13" width="9.140625" style="4" customWidth="1"/>
    <col min="14" max="14" width="11.42578125" style="4" bestFit="1" customWidth="1"/>
    <col min="15" max="16384" width="9.140625" style="4"/>
  </cols>
  <sheetData>
    <row r="1" spans="1:16" s="1" customFormat="1" ht="18" customHeight="1" x14ac:dyDescent="0.2">
      <c r="F1" s="66"/>
      <c r="H1" s="209" t="s">
        <v>18</v>
      </c>
      <c r="I1" s="209"/>
      <c r="J1" s="209"/>
      <c r="K1" s="209"/>
      <c r="L1" s="209"/>
      <c r="M1" s="209"/>
    </row>
    <row r="2" spans="1:16" s="25" customFormat="1" ht="24.75" customHeight="1" x14ac:dyDescent="0.25">
      <c r="A2" s="212" t="s">
        <v>141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6" s="25" customFormat="1" ht="12.75" customHeight="1" x14ac:dyDescent="0.25">
      <c r="A3" s="50"/>
      <c r="B3" s="50"/>
      <c r="C3" s="50"/>
      <c r="D3" s="50"/>
      <c r="E3" s="50"/>
      <c r="F3" s="67"/>
      <c r="G3" s="50"/>
      <c r="H3" s="50"/>
      <c r="I3" s="50"/>
      <c r="J3" s="50"/>
      <c r="K3" s="50"/>
      <c r="L3" s="50"/>
      <c r="M3" s="50"/>
    </row>
    <row r="4" spans="1:16" s="26" customFormat="1" ht="20.25" customHeight="1" x14ac:dyDescent="0.25">
      <c r="A4" s="213" t="s">
        <v>140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</row>
    <row r="5" spans="1:16" s="26" customFormat="1" ht="12.75" customHeight="1" x14ac:dyDescent="0.25">
      <c r="A5" s="51"/>
      <c r="B5" s="51"/>
      <c r="C5" s="51"/>
      <c r="D5" s="51"/>
      <c r="E5" s="51"/>
      <c r="F5" s="68"/>
      <c r="G5" s="51"/>
      <c r="H5" s="51"/>
      <c r="I5" s="51"/>
      <c r="J5" s="51"/>
      <c r="K5" s="51"/>
      <c r="L5" s="51"/>
      <c r="M5" s="51"/>
    </row>
    <row r="6" spans="1:16" s="26" customFormat="1" ht="34.5" customHeight="1" x14ac:dyDescent="0.25">
      <c r="A6" s="214" t="s">
        <v>207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</row>
    <row r="7" spans="1:16" s="26" customFormat="1" ht="18" customHeight="1" x14ac:dyDescent="0.25">
      <c r="A7" s="211" t="s">
        <v>10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1:16" ht="18" customHeight="1" x14ac:dyDescent="0.2">
      <c r="A8" s="210"/>
      <c r="B8" s="210"/>
      <c r="C8" s="210"/>
      <c r="D8" s="210"/>
      <c r="E8" s="210"/>
      <c r="F8" s="210"/>
      <c r="G8" s="210"/>
      <c r="H8" s="216">
        <f>M316</f>
        <v>2516152.5909278532</v>
      </c>
      <c r="I8" s="216"/>
      <c r="J8" s="27" t="s">
        <v>7</v>
      </c>
      <c r="K8" s="27"/>
      <c r="L8" s="27"/>
    </row>
    <row r="9" spans="1:16" customFormat="1" ht="18" customHeight="1" x14ac:dyDescent="0.25">
      <c r="A9" s="206" t="s">
        <v>142</v>
      </c>
      <c r="B9" s="206"/>
      <c r="C9" s="206"/>
      <c r="D9" s="206"/>
      <c r="E9" s="206"/>
      <c r="F9" s="206"/>
      <c r="G9" s="215" t="s">
        <v>11</v>
      </c>
      <c r="H9" s="215"/>
      <c r="I9" s="215"/>
      <c r="J9" s="215"/>
      <c r="K9" s="215"/>
      <c r="L9" s="215"/>
      <c r="M9" s="215"/>
    </row>
    <row r="10" spans="1:16" s="59" customFormat="1" ht="24" customHeight="1" x14ac:dyDescent="0.25">
      <c r="A10" s="204" t="s">
        <v>0</v>
      </c>
      <c r="B10" s="205" t="s">
        <v>24</v>
      </c>
      <c r="C10" s="205" t="s">
        <v>12</v>
      </c>
      <c r="D10" s="205" t="s">
        <v>8</v>
      </c>
      <c r="E10" s="205" t="s">
        <v>19</v>
      </c>
      <c r="F10" s="217" t="s">
        <v>1</v>
      </c>
      <c r="G10" s="218" t="s">
        <v>20</v>
      </c>
      <c r="H10" s="218"/>
      <c r="I10" s="218"/>
      <c r="J10" s="218"/>
      <c r="K10" s="218"/>
      <c r="L10" s="218"/>
      <c r="M10" s="218"/>
    </row>
    <row r="11" spans="1:16" s="59" customFormat="1" ht="26.25" customHeight="1" x14ac:dyDescent="0.25">
      <c r="A11" s="205"/>
      <c r="B11" s="205"/>
      <c r="C11" s="205"/>
      <c r="D11" s="205"/>
      <c r="E11" s="205"/>
      <c r="F11" s="217"/>
      <c r="G11" s="203" t="s">
        <v>21</v>
      </c>
      <c r="H11" s="203"/>
      <c r="I11" s="203" t="s">
        <v>22</v>
      </c>
      <c r="J11" s="203"/>
      <c r="K11" s="203" t="s">
        <v>23</v>
      </c>
      <c r="L11" s="203"/>
      <c r="M11" s="203" t="s">
        <v>6</v>
      </c>
      <c r="P11" s="59">
        <f>35.4*126.6</f>
        <v>4481.6399999999994</v>
      </c>
    </row>
    <row r="12" spans="1:16" s="59" customFormat="1" ht="18" customHeight="1" x14ac:dyDescent="0.25">
      <c r="A12" s="205"/>
      <c r="B12" s="205"/>
      <c r="C12" s="205"/>
      <c r="D12" s="205"/>
      <c r="E12" s="205"/>
      <c r="F12" s="217"/>
      <c r="G12" s="60" t="s">
        <v>2</v>
      </c>
      <c r="H12" s="60" t="s">
        <v>3</v>
      </c>
      <c r="I12" s="60" t="s">
        <v>2</v>
      </c>
      <c r="J12" s="60" t="s">
        <v>3</v>
      </c>
      <c r="K12" s="60" t="s">
        <v>2</v>
      </c>
      <c r="L12" s="60" t="s">
        <v>3</v>
      </c>
      <c r="M12" s="203"/>
    </row>
    <row r="13" spans="1:16" s="59" customFormat="1" ht="18" customHeight="1" x14ac:dyDescent="0.2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</row>
    <row r="14" spans="1:16" s="10" customFormat="1" ht="21" customHeight="1" x14ac:dyDescent="0.2">
      <c r="A14" s="24"/>
      <c r="B14" s="31"/>
      <c r="C14" s="11" t="s">
        <v>46</v>
      </c>
      <c r="D14" s="7"/>
      <c r="E14" s="32"/>
      <c r="F14" s="8"/>
      <c r="G14" s="8"/>
      <c r="H14" s="33"/>
      <c r="I14" s="36"/>
      <c r="J14" s="9"/>
      <c r="K14" s="9"/>
      <c r="L14" s="9"/>
      <c r="M14" s="33"/>
    </row>
    <row r="15" spans="1:16" s="12" customFormat="1" ht="34.5" customHeight="1" x14ac:dyDescent="0.25">
      <c r="A15" s="48">
        <v>1.1000000000000001</v>
      </c>
      <c r="B15" s="37" t="s">
        <v>49</v>
      </c>
      <c r="C15" s="28" t="s">
        <v>50</v>
      </c>
      <c r="D15" s="29" t="s">
        <v>51</v>
      </c>
      <c r="E15" s="30"/>
      <c r="F15" s="34">
        <f>14400/1000</f>
        <v>14.4</v>
      </c>
      <c r="G15" s="101"/>
      <c r="H15" s="101"/>
      <c r="I15" s="102"/>
      <c r="J15" s="103"/>
      <c r="K15" s="103"/>
      <c r="L15" s="103"/>
      <c r="M15" s="104"/>
    </row>
    <row r="16" spans="1:16" s="10" customFormat="1" ht="25.5" customHeight="1" x14ac:dyDescent="0.2">
      <c r="A16" s="48"/>
      <c r="B16" s="31" t="s">
        <v>25</v>
      </c>
      <c r="C16" s="6" t="s">
        <v>36</v>
      </c>
      <c r="D16" s="74" t="s">
        <v>52</v>
      </c>
      <c r="E16" s="32">
        <v>13.2</v>
      </c>
      <c r="F16" s="8">
        <f>E16*F15</f>
        <v>190.07999999999998</v>
      </c>
      <c r="G16" s="105">
        <v>6</v>
      </c>
      <c r="H16" s="106">
        <f>F16*G16</f>
        <v>1140.48</v>
      </c>
      <c r="I16" s="107"/>
      <c r="J16" s="108"/>
      <c r="K16" s="108"/>
      <c r="L16" s="108"/>
      <c r="M16" s="106">
        <f>J16+H16+L16</f>
        <v>1140.48</v>
      </c>
    </row>
    <row r="17" spans="1:13" s="10" customFormat="1" ht="20.25" customHeight="1" x14ac:dyDescent="0.2">
      <c r="A17" s="48"/>
      <c r="B17" s="31" t="s">
        <v>17</v>
      </c>
      <c r="C17" s="6" t="s">
        <v>53</v>
      </c>
      <c r="D17" s="74" t="s">
        <v>54</v>
      </c>
      <c r="E17" s="32">
        <v>29.5</v>
      </c>
      <c r="F17" s="32">
        <f>E17*F15</f>
        <v>424.8</v>
      </c>
      <c r="G17" s="105"/>
      <c r="H17" s="106"/>
      <c r="I17" s="109"/>
      <c r="J17" s="108"/>
      <c r="K17" s="108">
        <v>57.63</v>
      </c>
      <c r="L17" s="108">
        <f>F17*K17</f>
        <v>24481.224000000002</v>
      </c>
      <c r="M17" s="106">
        <f t="shared" ref="M17:M18" si="0">J17+H17+L17</f>
        <v>24481.224000000002</v>
      </c>
    </row>
    <row r="18" spans="1:13" s="10" customFormat="1" ht="20.25" customHeight="1" x14ac:dyDescent="0.2">
      <c r="A18" s="48"/>
      <c r="B18" s="31" t="s">
        <v>17</v>
      </c>
      <c r="C18" s="6" t="s">
        <v>55</v>
      </c>
      <c r="D18" s="74" t="s">
        <v>7</v>
      </c>
      <c r="E18" s="32">
        <v>2.1</v>
      </c>
      <c r="F18" s="32">
        <f>E18*F15</f>
        <v>30.240000000000002</v>
      </c>
      <c r="G18" s="105"/>
      <c r="H18" s="106"/>
      <c r="I18" s="109"/>
      <c r="J18" s="108"/>
      <c r="K18" s="108">
        <v>4</v>
      </c>
      <c r="L18" s="108">
        <f>F18*K18</f>
        <v>120.96000000000001</v>
      </c>
      <c r="M18" s="106">
        <f t="shared" si="0"/>
        <v>120.96000000000001</v>
      </c>
    </row>
    <row r="19" spans="1:13" s="10" customFormat="1" ht="20.25" customHeight="1" x14ac:dyDescent="0.2">
      <c r="A19" s="48"/>
      <c r="B19" s="31"/>
      <c r="C19" s="6"/>
      <c r="D19" s="74"/>
      <c r="E19" s="32"/>
      <c r="F19" s="8"/>
      <c r="G19" s="105"/>
      <c r="H19" s="106"/>
      <c r="I19" s="109"/>
      <c r="J19" s="108"/>
      <c r="K19" s="108"/>
      <c r="L19" s="108"/>
      <c r="M19" s="106"/>
    </row>
    <row r="20" spans="1:13" s="12" customFormat="1" ht="32.25" customHeight="1" x14ac:dyDescent="0.25">
      <c r="A20" s="48">
        <v>1.2</v>
      </c>
      <c r="B20" s="37" t="s">
        <v>56</v>
      </c>
      <c r="C20" s="28" t="s">
        <v>57</v>
      </c>
      <c r="D20" s="29" t="s">
        <v>34</v>
      </c>
      <c r="E20" s="30"/>
      <c r="F20" s="131">
        <f>F15*1000-1400</f>
        <v>13000</v>
      </c>
      <c r="G20" s="101"/>
      <c r="H20" s="101"/>
      <c r="I20" s="102"/>
      <c r="J20" s="103"/>
      <c r="K20" s="103"/>
      <c r="L20" s="103"/>
      <c r="M20" s="104"/>
    </row>
    <row r="21" spans="1:13" s="10" customFormat="1" ht="18.75" customHeight="1" x14ac:dyDescent="0.2">
      <c r="A21" s="48"/>
      <c r="B21" s="31" t="s">
        <v>25</v>
      </c>
      <c r="C21" s="6" t="s">
        <v>58</v>
      </c>
      <c r="D21" s="74" t="s">
        <v>15</v>
      </c>
      <c r="E21" s="32">
        <v>1.75</v>
      </c>
      <c r="F21" s="105">
        <f>E21*F20</f>
        <v>22750</v>
      </c>
      <c r="G21" s="105"/>
      <c r="H21" s="106"/>
      <c r="I21" s="107"/>
      <c r="J21" s="108"/>
      <c r="K21" s="108">
        <f>2.05</f>
        <v>2.0499999999999998</v>
      </c>
      <c r="L21" s="108">
        <f>F21*K21</f>
        <v>46637.499999999993</v>
      </c>
      <c r="M21" s="106">
        <f>J21+H21+L21</f>
        <v>46637.499999999993</v>
      </c>
    </row>
    <row r="22" spans="1:13" s="10" customFormat="1" ht="18.75" customHeight="1" x14ac:dyDescent="0.2">
      <c r="A22" s="48"/>
      <c r="B22" s="31"/>
      <c r="C22" s="6"/>
      <c r="D22" s="74"/>
      <c r="E22" s="32"/>
      <c r="F22" s="8"/>
      <c r="G22" s="105"/>
      <c r="H22" s="106"/>
      <c r="I22" s="109"/>
      <c r="J22" s="108"/>
      <c r="K22" s="108"/>
      <c r="L22" s="108"/>
      <c r="M22" s="106"/>
    </row>
    <row r="23" spans="1:13" s="12" customFormat="1" ht="18.75" customHeight="1" x14ac:dyDescent="0.25">
      <c r="A23" s="48">
        <v>1.3</v>
      </c>
      <c r="B23" s="37" t="s">
        <v>59</v>
      </c>
      <c r="C23" s="28" t="s">
        <v>83</v>
      </c>
      <c r="D23" s="29" t="s">
        <v>34</v>
      </c>
      <c r="E23" s="30"/>
      <c r="F23" s="34">
        <f>1400/1000</f>
        <v>1.4</v>
      </c>
      <c r="G23" s="101"/>
      <c r="H23" s="101"/>
      <c r="I23" s="102"/>
      <c r="J23" s="103"/>
      <c r="K23" s="103"/>
      <c r="L23" s="103"/>
      <c r="M23" s="104"/>
    </row>
    <row r="24" spans="1:13" s="10" customFormat="1" ht="18.75" customHeight="1" x14ac:dyDescent="0.2">
      <c r="A24" s="48"/>
      <c r="B24" s="31" t="s">
        <v>25</v>
      </c>
      <c r="C24" s="6" t="s">
        <v>60</v>
      </c>
      <c r="D24" s="74" t="s">
        <v>15</v>
      </c>
      <c r="E24" s="32">
        <v>9.2100000000000009</v>
      </c>
      <c r="F24" s="8">
        <f>E24*F23</f>
        <v>12.894</v>
      </c>
      <c r="G24" s="105"/>
      <c r="H24" s="106"/>
      <c r="I24" s="107"/>
      <c r="J24" s="108"/>
      <c r="K24" s="108">
        <v>97.32</v>
      </c>
      <c r="L24" s="108">
        <f>F24*K24</f>
        <v>1254.8440799999998</v>
      </c>
      <c r="M24" s="106">
        <f>J24+H24+L24</f>
        <v>1254.8440799999998</v>
      </c>
    </row>
    <row r="25" spans="1:13" s="10" customFormat="1" ht="18.75" customHeight="1" x14ac:dyDescent="0.2">
      <c r="A25" s="48"/>
      <c r="B25" s="31"/>
      <c r="C25" s="6"/>
      <c r="D25" s="74"/>
      <c r="E25" s="32"/>
      <c r="F25" s="8"/>
      <c r="G25" s="105"/>
      <c r="H25" s="106"/>
      <c r="I25" s="109"/>
      <c r="J25" s="108"/>
      <c r="K25" s="108"/>
      <c r="L25" s="108"/>
      <c r="M25" s="106"/>
    </row>
    <row r="26" spans="1:13" s="12" customFormat="1" ht="39.75" customHeight="1" x14ac:dyDescent="0.25">
      <c r="A26" s="48">
        <v>1.4</v>
      </c>
      <c r="B26" s="37" t="s">
        <v>61</v>
      </c>
      <c r="C26" s="28" t="s">
        <v>84</v>
      </c>
      <c r="D26" s="29" t="s">
        <v>34</v>
      </c>
      <c r="E26" s="30"/>
      <c r="F26" s="34">
        <f>(168.2+13.5+24.5+36+42.9+12.96+15.6+12.96)/0.4*0.1</f>
        <v>81.654999999999987</v>
      </c>
      <c r="G26" s="101"/>
      <c r="H26" s="101"/>
      <c r="I26" s="102"/>
      <c r="J26" s="103"/>
      <c r="K26" s="103"/>
      <c r="L26" s="103"/>
      <c r="M26" s="104"/>
    </row>
    <row r="27" spans="1:13" s="10" customFormat="1" ht="18.75" customHeight="1" x14ac:dyDescent="0.2">
      <c r="A27" s="48"/>
      <c r="B27" s="31" t="s">
        <v>25</v>
      </c>
      <c r="C27" s="6" t="s">
        <v>36</v>
      </c>
      <c r="D27" s="74" t="s">
        <v>52</v>
      </c>
      <c r="E27" s="32">
        <v>0.89</v>
      </c>
      <c r="F27" s="8">
        <f>E27*F26</f>
        <v>72.672949999999986</v>
      </c>
      <c r="G27" s="105">
        <v>7.8</v>
      </c>
      <c r="H27" s="106">
        <f>F27*G27</f>
        <v>566.84900999999991</v>
      </c>
      <c r="I27" s="107"/>
      <c r="J27" s="108"/>
      <c r="K27" s="108"/>
      <c r="L27" s="108"/>
      <c r="M27" s="106">
        <f>J27+H27+L27</f>
        <v>566.84900999999991</v>
      </c>
    </row>
    <row r="28" spans="1:13" s="10" customFormat="1" ht="20.25" customHeight="1" x14ac:dyDescent="0.2">
      <c r="A28" s="48"/>
      <c r="B28" s="31"/>
      <c r="C28" s="6" t="s">
        <v>62</v>
      </c>
      <c r="D28" s="74" t="s">
        <v>7</v>
      </c>
      <c r="E28" s="32">
        <v>0.37</v>
      </c>
      <c r="F28" s="32">
        <f>E28*F26</f>
        <v>30.212349999999994</v>
      </c>
      <c r="G28" s="105"/>
      <c r="H28" s="106"/>
      <c r="I28" s="109"/>
      <c r="J28" s="108"/>
      <c r="K28" s="108">
        <v>4</v>
      </c>
      <c r="L28" s="108">
        <f>F28*K28</f>
        <v>120.84939999999997</v>
      </c>
      <c r="M28" s="106">
        <f t="shared" ref="M28:M30" si="1">J28+H28+L28</f>
        <v>120.84939999999997</v>
      </c>
    </row>
    <row r="29" spans="1:13" s="10" customFormat="1" ht="20.25" customHeight="1" x14ac:dyDescent="0.2">
      <c r="A29" s="48"/>
      <c r="B29" s="31" t="s">
        <v>17</v>
      </c>
      <c r="C29" s="6" t="s">
        <v>63</v>
      </c>
      <c r="D29" s="74" t="s">
        <v>34</v>
      </c>
      <c r="E29" s="32">
        <v>1.1499999999999999</v>
      </c>
      <c r="F29" s="32">
        <f>E29*F26</f>
        <v>93.903249999999971</v>
      </c>
      <c r="G29" s="105"/>
      <c r="H29" s="106"/>
      <c r="I29" s="109">
        <f>15/1.18</f>
        <v>12.711864406779661</v>
      </c>
      <c r="J29" s="108">
        <f>F29*I29</f>
        <v>1193.6853813559319</v>
      </c>
      <c r="K29" s="108"/>
      <c r="L29" s="108"/>
      <c r="M29" s="106">
        <f t="shared" si="1"/>
        <v>1193.6853813559319</v>
      </c>
    </row>
    <row r="30" spans="1:13" s="10" customFormat="1" ht="20.25" customHeight="1" x14ac:dyDescent="0.2">
      <c r="A30" s="48"/>
      <c r="B30" s="31"/>
      <c r="C30" s="6" t="s">
        <v>64</v>
      </c>
      <c r="D30" s="74" t="s">
        <v>7</v>
      </c>
      <c r="E30" s="32">
        <v>0.02</v>
      </c>
      <c r="F30" s="32">
        <f>E30*F26</f>
        <v>1.6330999999999998</v>
      </c>
      <c r="G30" s="105"/>
      <c r="H30" s="106"/>
      <c r="I30" s="109">
        <v>4</v>
      </c>
      <c r="J30" s="108">
        <f>F30*I30</f>
        <v>6.5323999999999991</v>
      </c>
      <c r="K30" s="108"/>
      <c r="L30" s="108"/>
      <c r="M30" s="106">
        <f t="shared" si="1"/>
        <v>6.5323999999999991</v>
      </c>
    </row>
    <row r="31" spans="1:13" s="10" customFormat="1" ht="18.75" customHeight="1" x14ac:dyDescent="0.2">
      <c r="A31" s="48" t="s">
        <v>123</v>
      </c>
      <c r="B31" s="31"/>
      <c r="C31" s="6"/>
      <c r="D31" s="74"/>
      <c r="E31" s="32"/>
      <c r="F31" s="8"/>
      <c r="G31" s="105"/>
      <c r="H31" s="106"/>
      <c r="I31" s="109"/>
      <c r="J31" s="108"/>
      <c r="K31" s="108"/>
      <c r="L31" s="108"/>
      <c r="M31" s="106"/>
    </row>
    <row r="32" spans="1:13" s="12" customFormat="1" ht="18" customHeight="1" x14ac:dyDescent="0.25">
      <c r="A32" s="48">
        <v>1.5</v>
      </c>
      <c r="B32" s="75" t="s">
        <v>71</v>
      </c>
      <c r="C32" s="28" t="s">
        <v>70</v>
      </c>
      <c r="D32" s="29" t="s">
        <v>34</v>
      </c>
      <c r="E32" s="30"/>
      <c r="F32" s="34">
        <f>(168.2+13.5+24.5+36+42.9+12.96+15.6+12.96)/0.4*0.1</f>
        <v>81.654999999999987</v>
      </c>
      <c r="G32" s="101"/>
      <c r="H32" s="101"/>
      <c r="I32" s="102"/>
      <c r="J32" s="103"/>
      <c r="K32" s="103"/>
      <c r="L32" s="103"/>
      <c r="M32" s="104"/>
    </row>
    <row r="33" spans="1:13" s="10" customFormat="1" ht="20.25" customHeight="1" x14ac:dyDescent="0.2">
      <c r="A33" s="48"/>
      <c r="B33" s="31" t="s">
        <v>25</v>
      </c>
      <c r="C33" s="6" t="s">
        <v>36</v>
      </c>
      <c r="D33" s="74" t="s">
        <v>34</v>
      </c>
      <c r="E33" s="32">
        <v>1</v>
      </c>
      <c r="F33" s="8">
        <f>E33*F32</f>
        <v>81.654999999999987</v>
      </c>
      <c r="G33" s="105">
        <f>30/0.8</f>
        <v>37.5</v>
      </c>
      <c r="H33" s="106">
        <f>F33*G33</f>
        <v>3062.0624999999995</v>
      </c>
      <c r="I33" s="107"/>
      <c r="J33" s="108"/>
      <c r="K33" s="108"/>
      <c r="L33" s="108"/>
      <c r="M33" s="106">
        <f>J33+H33</f>
        <v>3062.0624999999995</v>
      </c>
    </row>
    <row r="34" spans="1:13" s="80" customFormat="1" ht="20.25" customHeight="1" x14ac:dyDescent="0.25">
      <c r="A34" s="76"/>
      <c r="B34" s="77"/>
      <c r="C34" s="44" t="s">
        <v>55</v>
      </c>
      <c r="D34" s="78" t="s">
        <v>7</v>
      </c>
      <c r="E34" s="79">
        <f>28.3/100</f>
        <v>0.28300000000000003</v>
      </c>
      <c r="F34" s="79">
        <f>E34*F32</f>
        <v>23.108364999999999</v>
      </c>
      <c r="G34" s="110"/>
      <c r="H34" s="98"/>
      <c r="I34" s="98"/>
      <c r="J34" s="98"/>
      <c r="K34" s="98">
        <v>4</v>
      </c>
      <c r="L34" s="98">
        <f>F34*K34</f>
        <v>92.433459999999997</v>
      </c>
      <c r="M34" s="98">
        <f t="shared" ref="M34" si="2">H34+J34+L34</f>
        <v>92.433459999999997</v>
      </c>
    </row>
    <row r="35" spans="1:13" s="10" customFormat="1" ht="20.25" customHeight="1" x14ac:dyDescent="0.2">
      <c r="A35" s="48"/>
      <c r="B35" s="31" t="s">
        <v>17</v>
      </c>
      <c r="C35" s="6" t="s">
        <v>35</v>
      </c>
      <c r="D35" s="74" t="s">
        <v>34</v>
      </c>
      <c r="E35" s="35">
        <v>1.02</v>
      </c>
      <c r="F35" s="32">
        <f>E35*F32</f>
        <v>83.288099999999986</v>
      </c>
      <c r="G35" s="105"/>
      <c r="H35" s="106"/>
      <c r="I35" s="109">
        <f>130/1.18</f>
        <v>110.16949152542374</v>
      </c>
      <c r="J35" s="108">
        <f>I35*F35</f>
        <v>9175.8076271186437</v>
      </c>
      <c r="K35" s="108"/>
      <c r="L35" s="108"/>
      <c r="M35" s="106">
        <f>J35+H35</f>
        <v>9175.8076271186437</v>
      </c>
    </row>
    <row r="36" spans="1:13" s="84" customFormat="1" ht="17.25" customHeight="1" x14ac:dyDescent="0.25">
      <c r="A36" s="13"/>
      <c r="B36" s="77"/>
      <c r="C36" s="57" t="s">
        <v>64</v>
      </c>
      <c r="D36" s="81" t="s">
        <v>7</v>
      </c>
      <c r="E36" s="85">
        <v>0.62</v>
      </c>
      <c r="F36" s="79">
        <f>E36*F32</f>
        <v>50.626099999999994</v>
      </c>
      <c r="G36" s="111"/>
      <c r="H36" s="112"/>
      <c r="I36" s="112">
        <v>4</v>
      </c>
      <c r="J36" s="112">
        <f>F36*I36</f>
        <v>202.50439999999998</v>
      </c>
      <c r="K36" s="112"/>
      <c r="L36" s="112"/>
      <c r="M36" s="98">
        <f t="shared" ref="M36" si="3">H36+J36+L36</f>
        <v>202.50439999999998</v>
      </c>
    </row>
    <row r="37" spans="1:13" s="10" customFormat="1" ht="20.25" customHeight="1" x14ac:dyDescent="0.2">
      <c r="A37" s="48"/>
      <c r="B37" s="31"/>
      <c r="C37" s="6"/>
      <c r="D37" s="74"/>
      <c r="E37" s="32"/>
      <c r="F37" s="8"/>
      <c r="G37" s="105"/>
      <c r="H37" s="106"/>
      <c r="I37" s="109"/>
      <c r="J37" s="108"/>
      <c r="K37" s="108"/>
      <c r="L37" s="108"/>
      <c r="M37" s="106"/>
    </row>
    <row r="38" spans="1:13" s="12" customFormat="1" ht="31.5" customHeight="1" x14ac:dyDescent="0.25">
      <c r="A38" s="48">
        <v>1.6</v>
      </c>
      <c r="B38" s="75" t="s">
        <v>65</v>
      </c>
      <c r="C38" s="28" t="s">
        <v>42</v>
      </c>
      <c r="D38" s="29" t="s">
        <v>34</v>
      </c>
      <c r="E38" s="30"/>
      <c r="F38" s="139">
        <f>42.9+12.96+15.6+12.96</f>
        <v>84.419999999999987</v>
      </c>
      <c r="G38" s="101"/>
      <c r="H38" s="101"/>
      <c r="I38" s="102"/>
      <c r="J38" s="103"/>
      <c r="K38" s="103"/>
      <c r="L38" s="103"/>
      <c r="M38" s="104"/>
    </row>
    <row r="39" spans="1:13" s="10" customFormat="1" ht="20.25" customHeight="1" x14ac:dyDescent="0.2">
      <c r="A39" s="24"/>
      <c r="B39" s="31" t="s">
        <v>25</v>
      </c>
      <c r="C39" s="6" t="s">
        <v>36</v>
      </c>
      <c r="D39" s="7" t="s">
        <v>34</v>
      </c>
      <c r="E39" s="32">
        <v>1</v>
      </c>
      <c r="F39" s="8">
        <f>E39*F38</f>
        <v>84.419999999999987</v>
      </c>
      <c r="G39" s="105">
        <f>60/0.8</f>
        <v>75</v>
      </c>
      <c r="H39" s="106">
        <f>F39*G39</f>
        <v>6331.4999999999991</v>
      </c>
      <c r="I39" s="107"/>
      <c r="J39" s="108"/>
      <c r="K39" s="108"/>
      <c r="L39" s="108"/>
      <c r="M39" s="106">
        <f>J39+H39</f>
        <v>6331.4999999999991</v>
      </c>
    </row>
    <row r="40" spans="1:13" s="80" customFormat="1" ht="20.25" customHeight="1" x14ac:dyDescent="0.25">
      <c r="A40" s="76"/>
      <c r="B40" s="77"/>
      <c r="C40" s="44" t="s">
        <v>55</v>
      </c>
      <c r="D40" s="78" t="s">
        <v>7</v>
      </c>
      <c r="E40" s="79">
        <f>59/100</f>
        <v>0.59</v>
      </c>
      <c r="F40" s="79">
        <f>E40*F38</f>
        <v>49.807799999999993</v>
      </c>
      <c r="G40" s="110"/>
      <c r="H40" s="98"/>
      <c r="I40" s="98"/>
      <c r="J40" s="98"/>
      <c r="K40" s="98">
        <v>4</v>
      </c>
      <c r="L40" s="98">
        <f>F40*K40</f>
        <v>199.23119999999997</v>
      </c>
      <c r="M40" s="98">
        <f t="shared" ref="M40" si="4">H40+J40+L40</f>
        <v>199.23119999999997</v>
      </c>
    </row>
    <row r="41" spans="1:13" s="10" customFormat="1" ht="20.25" customHeight="1" x14ac:dyDescent="0.2">
      <c r="A41" s="48"/>
      <c r="B41" s="77" t="s">
        <v>17</v>
      </c>
      <c r="C41" s="6" t="s">
        <v>35</v>
      </c>
      <c r="D41" s="64" t="s">
        <v>34</v>
      </c>
      <c r="E41" s="35">
        <v>1.0149999999999999</v>
      </c>
      <c r="F41" s="32">
        <f>E41*F38</f>
        <v>85.686299999999974</v>
      </c>
      <c r="G41" s="105"/>
      <c r="H41" s="106"/>
      <c r="I41" s="109">
        <f>170/1.18</f>
        <v>144.06779661016949</v>
      </c>
      <c r="J41" s="108">
        <f>I41*F41</f>
        <v>12344.636440677963</v>
      </c>
      <c r="K41" s="108"/>
      <c r="L41" s="108"/>
      <c r="M41" s="106">
        <f>J41+H41</f>
        <v>12344.636440677963</v>
      </c>
    </row>
    <row r="42" spans="1:13" s="10" customFormat="1" ht="20.25" customHeight="1" x14ac:dyDescent="0.2">
      <c r="A42" s="24"/>
      <c r="B42" s="77" t="s">
        <v>17</v>
      </c>
      <c r="C42" s="6" t="s">
        <v>30</v>
      </c>
      <c r="D42" s="7" t="s">
        <v>15</v>
      </c>
      <c r="E42" s="35"/>
      <c r="F42" s="32">
        <f>(1405.6+396.1)/1000</f>
        <v>1.8016999999999999</v>
      </c>
      <c r="G42" s="105"/>
      <c r="H42" s="106"/>
      <c r="I42" s="109">
        <f>3072/1.18</f>
        <v>2603.3898305084749</v>
      </c>
      <c r="J42" s="108">
        <f t="shared" ref="J42" si="5">I42*F42</f>
        <v>4690.5274576271186</v>
      </c>
      <c r="K42" s="108"/>
      <c r="L42" s="108"/>
      <c r="M42" s="106">
        <f t="shared" ref="M42" si="6">J42+H42</f>
        <v>4690.5274576271186</v>
      </c>
    </row>
    <row r="43" spans="1:13" s="10" customFormat="1" ht="20.25" customHeight="1" x14ac:dyDescent="0.2">
      <c r="A43" s="48"/>
      <c r="B43" s="77" t="s">
        <v>17</v>
      </c>
      <c r="C43" s="6" t="s">
        <v>32</v>
      </c>
      <c r="D43" s="64" t="s">
        <v>15</v>
      </c>
      <c r="E43" s="35"/>
      <c r="F43" s="32">
        <f>(118.3*12)/1000</f>
        <v>1.4196</v>
      </c>
      <c r="G43" s="105"/>
      <c r="H43" s="106"/>
      <c r="I43" s="109">
        <f>I42</f>
        <v>2603.3898305084749</v>
      </c>
      <c r="J43" s="108">
        <f t="shared" ref="J43" si="7">I43*F43</f>
        <v>3695.7722033898308</v>
      </c>
      <c r="K43" s="108"/>
      <c r="L43" s="108"/>
      <c r="M43" s="106">
        <f t="shared" ref="M43" si="8">J43+H43</f>
        <v>3695.7722033898308</v>
      </c>
    </row>
    <row r="44" spans="1:13" s="10" customFormat="1" ht="20.25" customHeight="1" x14ac:dyDescent="0.2">
      <c r="A44" s="48"/>
      <c r="B44" s="77" t="s">
        <v>17</v>
      </c>
      <c r="C44" s="6" t="s">
        <v>33</v>
      </c>
      <c r="D44" s="64" t="s">
        <v>15</v>
      </c>
      <c r="E44" s="35"/>
      <c r="F44" s="32">
        <f>(117.4*6)/1000</f>
        <v>0.70440000000000014</v>
      </c>
      <c r="G44" s="105"/>
      <c r="H44" s="106"/>
      <c r="I44" s="109">
        <f>I43</f>
        <v>2603.3898305084749</v>
      </c>
      <c r="J44" s="108">
        <f t="shared" ref="J44" si="9">I44*F44</f>
        <v>1833.82779661017</v>
      </c>
      <c r="K44" s="108"/>
      <c r="L44" s="108"/>
      <c r="M44" s="106">
        <f t="shared" ref="M44" si="10">J44+H44</f>
        <v>1833.82779661017</v>
      </c>
    </row>
    <row r="45" spans="1:13" s="84" customFormat="1" ht="17.25" customHeight="1" x14ac:dyDescent="0.25">
      <c r="A45" s="13"/>
      <c r="B45" s="77" t="s">
        <v>17</v>
      </c>
      <c r="C45" s="57" t="s">
        <v>68</v>
      </c>
      <c r="D45" s="81" t="s">
        <v>69</v>
      </c>
      <c r="E45" s="82"/>
      <c r="F45" s="79">
        <f>(F42+F43+F44)*10</f>
        <v>39.256999999999998</v>
      </c>
      <c r="G45" s="111"/>
      <c r="H45" s="112"/>
      <c r="I45" s="112">
        <v>4</v>
      </c>
      <c r="J45" s="112">
        <f>F45*I45</f>
        <v>157.02799999999999</v>
      </c>
      <c r="K45" s="112"/>
      <c r="L45" s="112"/>
      <c r="M45" s="98">
        <f t="shared" ref="M45" si="11">H45+J45+L45</f>
        <v>157.02799999999999</v>
      </c>
    </row>
    <row r="46" spans="1:13" s="84" customFormat="1" ht="17.25" customHeight="1" x14ac:dyDescent="0.25">
      <c r="A46" s="13"/>
      <c r="B46" s="77" t="s">
        <v>17</v>
      </c>
      <c r="C46" s="57" t="s">
        <v>66</v>
      </c>
      <c r="D46" s="81" t="s">
        <v>4</v>
      </c>
      <c r="E46" s="82"/>
      <c r="F46" s="79">
        <f>1.8*4*33*0.5+(3*2+1.8*2)*6*0.5+1.8*4*6*0.5+(3*2+1.8*2)*6*0.5</f>
        <v>198</v>
      </c>
      <c r="G46" s="111"/>
      <c r="H46" s="112"/>
      <c r="I46" s="112">
        <f>32.81/1.18</f>
        <v>27.805084745762716</v>
      </c>
      <c r="J46" s="112">
        <f>F46*I46</f>
        <v>5505.4067796610179</v>
      </c>
      <c r="K46" s="112"/>
      <c r="L46" s="112"/>
      <c r="M46" s="98">
        <f t="shared" ref="M46" si="12">H46+J46+L46</f>
        <v>5505.4067796610179</v>
      </c>
    </row>
    <row r="47" spans="1:13" s="84" customFormat="1" ht="17.25" customHeight="1" x14ac:dyDescent="0.25">
      <c r="A47" s="13"/>
      <c r="B47" s="77" t="s">
        <v>17</v>
      </c>
      <c r="C47" s="57" t="s">
        <v>67</v>
      </c>
      <c r="D47" s="81" t="s">
        <v>34</v>
      </c>
      <c r="E47" s="85">
        <f>1.83/100</f>
        <v>1.83E-2</v>
      </c>
      <c r="F47" s="79">
        <f>E47*F38</f>
        <v>1.5448859999999998</v>
      </c>
      <c r="G47" s="111"/>
      <c r="H47" s="112"/>
      <c r="I47" s="112">
        <v>700</v>
      </c>
      <c r="J47" s="112">
        <f>F47*I47</f>
        <v>1081.4201999999998</v>
      </c>
      <c r="K47" s="112"/>
      <c r="L47" s="112"/>
      <c r="M47" s="98">
        <f t="shared" ref="M47" si="13">H47+J47+L47</f>
        <v>1081.4201999999998</v>
      </c>
    </row>
    <row r="48" spans="1:13" s="84" customFormat="1" ht="17.25" customHeight="1" x14ac:dyDescent="0.25">
      <c r="A48" s="13"/>
      <c r="B48" s="77"/>
      <c r="C48" s="57" t="s">
        <v>64</v>
      </c>
      <c r="D48" s="81" t="s">
        <v>7</v>
      </c>
      <c r="E48" s="85">
        <v>0.4</v>
      </c>
      <c r="F48" s="79">
        <f>E48*F38</f>
        <v>33.767999999999994</v>
      </c>
      <c r="G48" s="111"/>
      <c r="H48" s="112"/>
      <c r="I48" s="112">
        <v>4</v>
      </c>
      <c r="J48" s="112">
        <f>F48*I48</f>
        <v>135.07199999999997</v>
      </c>
      <c r="K48" s="112"/>
      <c r="L48" s="112"/>
      <c r="M48" s="98">
        <f t="shared" ref="M48" si="14">H48+J48+L48</f>
        <v>135.07199999999997</v>
      </c>
    </row>
    <row r="49" spans="1:13" s="10" customFormat="1" ht="20.25" customHeight="1" x14ac:dyDescent="0.2">
      <c r="A49" s="24"/>
      <c r="B49" s="31"/>
      <c r="C49" s="6"/>
      <c r="D49" s="7"/>
      <c r="E49" s="32"/>
      <c r="F49" s="8"/>
      <c r="G49" s="105"/>
      <c r="H49" s="106"/>
      <c r="I49" s="109"/>
      <c r="J49" s="108"/>
      <c r="K49" s="108"/>
      <c r="L49" s="108"/>
      <c r="M49" s="106"/>
    </row>
    <row r="50" spans="1:13" s="12" customFormat="1" ht="32.25" customHeight="1" x14ac:dyDescent="0.25">
      <c r="A50" s="48">
        <v>1.7</v>
      </c>
      <c r="B50" s="37" t="s">
        <v>199</v>
      </c>
      <c r="C50" s="28" t="s">
        <v>41</v>
      </c>
      <c r="D50" s="29" t="s">
        <v>34</v>
      </c>
      <c r="E50" s="30"/>
      <c r="F50" s="86">
        <f>168.2+13.5+24.5+36</f>
        <v>242.2</v>
      </c>
      <c r="G50" s="101"/>
      <c r="H50" s="101"/>
      <c r="I50" s="102"/>
      <c r="J50" s="103"/>
      <c r="K50" s="103"/>
      <c r="L50" s="103"/>
      <c r="M50" s="104"/>
    </row>
    <row r="51" spans="1:13" s="10" customFormat="1" ht="24.75" customHeight="1" x14ac:dyDescent="0.2">
      <c r="A51" s="48"/>
      <c r="B51" s="31" t="s">
        <v>25</v>
      </c>
      <c r="C51" s="6" t="s">
        <v>36</v>
      </c>
      <c r="D51" s="64" t="s">
        <v>34</v>
      </c>
      <c r="E51" s="32">
        <v>1</v>
      </c>
      <c r="F51" s="8">
        <f>E51*F50</f>
        <v>242.2</v>
      </c>
      <c r="G51" s="105">
        <f>G39</f>
        <v>75</v>
      </c>
      <c r="H51" s="106">
        <f>F51*G51</f>
        <v>18165</v>
      </c>
      <c r="I51" s="107"/>
      <c r="J51" s="108"/>
      <c r="K51" s="108"/>
      <c r="L51" s="108"/>
      <c r="M51" s="106">
        <f>J51+H51</f>
        <v>18165</v>
      </c>
    </row>
    <row r="52" spans="1:13" s="80" customFormat="1" ht="20.25" customHeight="1" x14ac:dyDescent="0.25">
      <c r="A52" s="76"/>
      <c r="B52" s="77"/>
      <c r="C52" s="44" t="s">
        <v>55</v>
      </c>
      <c r="D52" s="78" t="s">
        <v>7</v>
      </c>
      <c r="E52" s="79">
        <v>0.92</v>
      </c>
      <c r="F52" s="79">
        <f>E52*F50</f>
        <v>222.82400000000001</v>
      </c>
      <c r="G52" s="110"/>
      <c r="H52" s="98"/>
      <c r="I52" s="98"/>
      <c r="J52" s="98"/>
      <c r="K52" s="98">
        <v>4</v>
      </c>
      <c r="L52" s="98">
        <f>F52*K52</f>
        <v>891.29600000000005</v>
      </c>
      <c r="M52" s="98">
        <f t="shared" ref="M52" si="15">H52+J52+L52</f>
        <v>891.29600000000005</v>
      </c>
    </row>
    <row r="53" spans="1:13" s="10" customFormat="1" ht="20.25" customHeight="1" x14ac:dyDescent="0.2">
      <c r="A53" s="48"/>
      <c r="B53" s="77" t="s">
        <v>17</v>
      </c>
      <c r="C53" s="6" t="s">
        <v>35</v>
      </c>
      <c r="D53" s="64" t="s">
        <v>34</v>
      </c>
      <c r="E53" s="35">
        <v>1.0149999999999999</v>
      </c>
      <c r="F53" s="32">
        <f>E53*F50</f>
        <v>245.83299999999997</v>
      </c>
      <c r="G53" s="105"/>
      <c r="H53" s="106"/>
      <c r="I53" s="109">
        <f>I41</f>
        <v>144.06779661016949</v>
      </c>
      <c r="J53" s="108">
        <f>I53*F53</f>
        <v>35416.618644067792</v>
      </c>
      <c r="K53" s="108"/>
      <c r="L53" s="108"/>
      <c r="M53" s="106">
        <f>J53+H53</f>
        <v>35416.618644067792</v>
      </c>
    </row>
    <row r="54" spans="1:13" s="10" customFormat="1" ht="20.25" customHeight="1" x14ac:dyDescent="0.2">
      <c r="A54" s="48"/>
      <c r="B54" s="77" t="s">
        <v>17</v>
      </c>
      <c r="C54" s="6" t="s">
        <v>30</v>
      </c>
      <c r="D54" s="64" t="s">
        <v>15</v>
      </c>
      <c r="E54" s="35"/>
      <c r="F54" s="32">
        <f>(2249.5+2249.5+4902+169.5+169.5+394.5+575+575)/1000</f>
        <v>11.2845</v>
      </c>
      <c r="G54" s="105"/>
      <c r="H54" s="106"/>
      <c r="I54" s="109">
        <f>I44</f>
        <v>2603.3898305084749</v>
      </c>
      <c r="J54" s="108">
        <f t="shared" ref="J54:J56" si="16">I54*F54</f>
        <v>29377.952542372885</v>
      </c>
      <c r="K54" s="108"/>
      <c r="L54" s="108"/>
      <c r="M54" s="106">
        <f t="shared" ref="M54:M56" si="17">J54+H54</f>
        <v>29377.952542372885</v>
      </c>
    </row>
    <row r="55" spans="1:13" s="10" customFormat="1" ht="20.25" customHeight="1" x14ac:dyDescent="0.2">
      <c r="A55" s="48"/>
      <c r="B55" s="77" t="s">
        <v>17</v>
      </c>
      <c r="C55" s="6" t="s">
        <v>33</v>
      </c>
      <c r="D55" s="64" t="s">
        <v>15</v>
      </c>
      <c r="E55" s="35"/>
      <c r="F55" s="32">
        <f>(1577.5+1577.5)/1000</f>
        <v>3.1549999999999998</v>
      </c>
      <c r="G55" s="105"/>
      <c r="H55" s="106"/>
      <c r="I55" s="109">
        <f>I54</f>
        <v>2603.3898305084749</v>
      </c>
      <c r="J55" s="108">
        <f t="shared" ref="J55" si="18">I55*F55</f>
        <v>8213.6949152542384</v>
      </c>
      <c r="K55" s="108"/>
      <c r="L55" s="108"/>
      <c r="M55" s="106">
        <f t="shared" ref="M55" si="19">J55+H55</f>
        <v>8213.6949152542384</v>
      </c>
    </row>
    <row r="56" spans="1:13" s="10" customFormat="1" ht="20.25" customHeight="1" x14ac:dyDescent="0.2">
      <c r="A56" s="48"/>
      <c r="B56" s="77" t="s">
        <v>17</v>
      </c>
      <c r="C56" s="6" t="s">
        <v>37</v>
      </c>
      <c r="D56" s="64" t="s">
        <v>15</v>
      </c>
      <c r="E56" s="35"/>
      <c r="F56" s="32">
        <f>(532.4+40.2+1009.5+1590.9)/1000</f>
        <v>3.173</v>
      </c>
      <c r="G56" s="105"/>
      <c r="H56" s="106"/>
      <c r="I56" s="109">
        <f>I69</f>
        <v>2657.6271186440681</v>
      </c>
      <c r="J56" s="108">
        <f t="shared" si="16"/>
        <v>8432.6508474576276</v>
      </c>
      <c r="K56" s="108"/>
      <c r="L56" s="108"/>
      <c r="M56" s="106">
        <f t="shared" si="17"/>
        <v>8432.6508474576276</v>
      </c>
    </row>
    <row r="57" spans="1:13" s="84" customFormat="1" ht="17.25" customHeight="1" x14ac:dyDescent="0.25">
      <c r="A57" s="13"/>
      <c r="B57" s="77" t="s">
        <v>17</v>
      </c>
      <c r="C57" s="57" t="s">
        <v>68</v>
      </c>
      <c r="D57" s="81" t="s">
        <v>69</v>
      </c>
      <c r="E57" s="82"/>
      <c r="F57" s="79">
        <f>(F54+F55+F56)*10</f>
        <v>176.12499999999997</v>
      </c>
      <c r="G57" s="111"/>
      <c r="H57" s="112"/>
      <c r="I57" s="112">
        <v>4</v>
      </c>
      <c r="J57" s="112">
        <f>F57*I57</f>
        <v>704.49999999999989</v>
      </c>
      <c r="K57" s="112"/>
      <c r="L57" s="112"/>
      <c r="M57" s="98">
        <f t="shared" ref="M57:M60" si="20">H57+J57+L57</f>
        <v>704.49999999999989</v>
      </c>
    </row>
    <row r="58" spans="1:13" s="84" customFormat="1" ht="17.25" customHeight="1" x14ac:dyDescent="0.25">
      <c r="A58" s="13"/>
      <c r="B58" s="77" t="s">
        <v>17</v>
      </c>
      <c r="C58" s="57" t="s">
        <v>66</v>
      </c>
      <c r="D58" s="81" t="s">
        <v>4</v>
      </c>
      <c r="E58" s="82"/>
      <c r="F58" s="79">
        <f>(175.2+17.77+102.08+150)*0.5</f>
        <v>222.52500000000001</v>
      </c>
      <c r="G58" s="111"/>
      <c r="H58" s="112"/>
      <c r="I58" s="112">
        <f>32.81/1.18</f>
        <v>27.805084745762716</v>
      </c>
      <c r="J58" s="112">
        <f>F58*I58</f>
        <v>6187.3264830508488</v>
      </c>
      <c r="K58" s="112"/>
      <c r="L58" s="112"/>
      <c r="M58" s="98">
        <f t="shared" si="20"/>
        <v>6187.3264830508488</v>
      </c>
    </row>
    <row r="59" spans="1:13" s="84" customFormat="1" ht="17.25" customHeight="1" x14ac:dyDescent="0.25">
      <c r="A59" s="13"/>
      <c r="B59" s="77" t="s">
        <v>17</v>
      </c>
      <c r="C59" s="57" t="s">
        <v>67</v>
      </c>
      <c r="D59" s="81" t="s">
        <v>34</v>
      </c>
      <c r="E59" s="85">
        <f>1.14/100</f>
        <v>1.1399999999999999E-2</v>
      </c>
      <c r="F59" s="79">
        <f>E59*F50</f>
        <v>2.7610799999999998</v>
      </c>
      <c r="G59" s="111"/>
      <c r="H59" s="112"/>
      <c r="I59" s="112">
        <v>700</v>
      </c>
      <c r="J59" s="112">
        <f>F59*I59</f>
        <v>1932.7559999999999</v>
      </c>
      <c r="K59" s="112"/>
      <c r="L59" s="112"/>
      <c r="M59" s="98">
        <f t="shared" si="20"/>
        <v>1932.7559999999999</v>
      </c>
    </row>
    <row r="60" spans="1:13" s="84" customFormat="1" ht="21.75" customHeight="1" x14ac:dyDescent="0.25">
      <c r="A60" s="13"/>
      <c r="B60" s="77"/>
      <c r="C60" s="57" t="s">
        <v>64</v>
      </c>
      <c r="D60" s="81" t="s">
        <v>7</v>
      </c>
      <c r="E60" s="85">
        <v>0.6</v>
      </c>
      <c r="F60" s="79">
        <f>E60*F50</f>
        <v>145.32</v>
      </c>
      <c r="G60" s="111"/>
      <c r="H60" s="112"/>
      <c r="I60" s="112">
        <v>4</v>
      </c>
      <c r="J60" s="112">
        <f>F60*I60</f>
        <v>581.28</v>
      </c>
      <c r="K60" s="112"/>
      <c r="L60" s="112"/>
      <c r="M60" s="98">
        <f t="shared" si="20"/>
        <v>581.28</v>
      </c>
    </row>
    <row r="61" spans="1:13" s="10" customFormat="1" ht="20.25" customHeight="1" x14ac:dyDescent="0.2">
      <c r="A61" s="48"/>
      <c r="B61" s="31"/>
      <c r="C61" s="6"/>
      <c r="D61" s="64"/>
      <c r="E61" s="35"/>
      <c r="F61" s="32"/>
      <c r="G61" s="105"/>
      <c r="H61" s="106"/>
      <c r="I61" s="109"/>
      <c r="J61" s="108"/>
      <c r="K61" s="108"/>
      <c r="L61" s="108"/>
      <c r="M61" s="106"/>
    </row>
    <row r="62" spans="1:13" s="12" customFormat="1" ht="31.5" customHeight="1" x14ac:dyDescent="0.25">
      <c r="A62" s="48">
        <v>1.8</v>
      </c>
      <c r="B62" s="37" t="s">
        <v>72</v>
      </c>
      <c r="C62" s="28" t="s">
        <v>40</v>
      </c>
      <c r="D62" s="29" t="s">
        <v>15</v>
      </c>
      <c r="E62" s="30"/>
      <c r="F62" s="34">
        <f>(1350.8+2476.6+391.1+7894.9)/1000</f>
        <v>12.1134</v>
      </c>
      <c r="G62" s="101"/>
      <c r="H62" s="101"/>
      <c r="I62" s="102"/>
      <c r="J62" s="103"/>
      <c r="K62" s="103"/>
      <c r="L62" s="103"/>
      <c r="M62" s="104"/>
    </row>
    <row r="63" spans="1:13" s="10" customFormat="1" ht="21" customHeight="1" x14ac:dyDescent="0.2">
      <c r="A63" s="48"/>
      <c r="B63" s="31" t="s">
        <v>25</v>
      </c>
      <c r="C63" s="6" t="s">
        <v>36</v>
      </c>
      <c r="D63" s="64" t="s">
        <v>15</v>
      </c>
      <c r="E63" s="32">
        <v>1</v>
      </c>
      <c r="F63" s="8">
        <f>E63*F62</f>
        <v>12.1134</v>
      </c>
      <c r="G63" s="105">
        <f>200/0.8</f>
        <v>250</v>
      </c>
      <c r="H63" s="106">
        <f>F63*G63</f>
        <v>3028.35</v>
      </c>
      <c r="I63" s="107"/>
      <c r="J63" s="108"/>
      <c r="K63" s="108"/>
      <c r="L63" s="108"/>
      <c r="M63" s="106">
        <f>J63+H63</f>
        <v>3028.35</v>
      </c>
    </row>
    <row r="64" spans="1:13" s="80" customFormat="1" ht="20.25" customHeight="1" x14ac:dyDescent="0.25">
      <c r="A64" s="76"/>
      <c r="B64" s="77"/>
      <c r="C64" s="44" t="s">
        <v>55</v>
      </c>
      <c r="D64" s="78" t="s">
        <v>7</v>
      </c>
      <c r="E64" s="79">
        <v>2.33</v>
      </c>
      <c r="F64" s="79">
        <f>E64*F62</f>
        <v>28.224222000000001</v>
      </c>
      <c r="G64" s="110"/>
      <c r="H64" s="98"/>
      <c r="I64" s="98"/>
      <c r="J64" s="98"/>
      <c r="K64" s="98">
        <v>4</v>
      </c>
      <c r="L64" s="98">
        <f>F64*K64</f>
        <v>112.896888</v>
      </c>
      <c r="M64" s="98">
        <f t="shared" ref="M64" si="21">H64+J64+L64</f>
        <v>112.896888</v>
      </c>
    </row>
    <row r="65" spans="1:13" s="10" customFormat="1" ht="20.25" customHeight="1" x14ac:dyDescent="0.2">
      <c r="A65" s="48"/>
      <c r="B65" s="31" t="s">
        <v>17</v>
      </c>
      <c r="C65" s="6" t="s">
        <v>38</v>
      </c>
      <c r="D65" s="64" t="s">
        <v>15</v>
      </c>
      <c r="E65" s="35"/>
      <c r="F65" s="32">
        <f>(1542.1+1686+28.8)/1000</f>
        <v>3.2568999999999999</v>
      </c>
      <c r="G65" s="105"/>
      <c r="H65" s="106"/>
      <c r="I65" s="107">
        <f>I54</f>
        <v>2603.3898305084749</v>
      </c>
      <c r="J65" s="108">
        <f t="shared" ref="J65:J66" si="22">I65*F65</f>
        <v>8478.9803389830522</v>
      </c>
      <c r="K65" s="108"/>
      <c r="L65" s="108"/>
      <c r="M65" s="106">
        <f t="shared" ref="M65:M66" si="23">J65+H65</f>
        <v>8478.9803389830522</v>
      </c>
    </row>
    <row r="66" spans="1:13" s="10" customFormat="1" ht="20.25" customHeight="1" x14ac:dyDescent="0.2">
      <c r="A66" s="48"/>
      <c r="B66" s="31" t="s">
        <v>17</v>
      </c>
      <c r="C66" s="6" t="s">
        <v>31</v>
      </c>
      <c r="D66" s="64" t="s">
        <v>15</v>
      </c>
      <c r="E66" s="35"/>
      <c r="F66" s="32">
        <f>4638/1000</f>
        <v>4.6379999999999999</v>
      </c>
      <c r="G66" s="105"/>
      <c r="H66" s="106"/>
      <c r="I66" s="107">
        <f>I65</f>
        <v>2603.3898305084749</v>
      </c>
      <c r="J66" s="108">
        <f t="shared" si="22"/>
        <v>12074.522033898307</v>
      </c>
      <c r="K66" s="108"/>
      <c r="L66" s="108"/>
      <c r="M66" s="106">
        <f t="shared" si="23"/>
        <v>12074.522033898307</v>
      </c>
    </row>
    <row r="67" spans="1:13" s="10" customFormat="1" ht="20.25" customHeight="1" x14ac:dyDescent="0.2">
      <c r="A67" s="48"/>
      <c r="B67" s="31" t="s">
        <v>17</v>
      </c>
      <c r="C67" s="6" t="s">
        <v>33</v>
      </c>
      <c r="D67" s="64" t="s">
        <v>15</v>
      </c>
      <c r="E67" s="35"/>
      <c r="F67" s="32">
        <f>(1287.3+378.6)/1000</f>
        <v>1.6659000000000002</v>
      </c>
      <c r="G67" s="105"/>
      <c r="H67" s="106"/>
      <c r="I67" s="107">
        <f>I66</f>
        <v>2603.3898305084749</v>
      </c>
      <c r="J67" s="108">
        <f t="shared" ref="J67:J69" si="24">I67*F67</f>
        <v>4336.9871186440687</v>
      </c>
      <c r="K67" s="108"/>
      <c r="L67" s="108"/>
      <c r="M67" s="106">
        <f t="shared" ref="M67:M69" si="25">J67+H67</f>
        <v>4336.9871186440687</v>
      </c>
    </row>
    <row r="68" spans="1:13" s="10" customFormat="1" ht="20.25" customHeight="1" x14ac:dyDescent="0.2">
      <c r="A68" s="48"/>
      <c r="B68" s="31" t="s">
        <v>17</v>
      </c>
      <c r="C68" s="6" t="s">
        <v>32</v>
      </c>
      <c r="D68" s="64" t="s">
        <v>15</v>
      </c>
      <c r="E68" s="35"/>
      <c r="F68" s="32">
        <f>(2425.5)/1000</f>
        <v>2.4255</v>
      </c>
      <c r="G68" s="105"/>
      <c r="H68" s="106"/>
      <c r="I68" s="107">
        <f>I67</f>
        <v>2603.3898305084749</v>
      </c>
      <c r="J68" s="108">
        <f t="shared" si="24"/>
        <v>6314.5220338983063</v>
      </c>
      <c r="K68" s="108"/>
      <c r="L68" s="108"/>
      <c r="M68" s="106">
        <f t="shared" si="25"/>
        <v>6314.5220338983063</v>
      </c>
    </row>
    <row r="69" spans="1:13" s="10" customFormat="1" ht="20.25" customHeight="1" x14ac:dyDescent="0.2">
      <c r="A69" s="48"/>
      <c r="B69" s="31" t="s">
        <v>17</v>
      </c>
      <c r="C69" s="6" t="s">
        <v>37</v>
      </c>
      <c r="D69" s="64" t="s">
        <v>15</v>
      </c>
      <c r="E69" s="35"/>
      <c r="F69" s="32">
        <f>(63.6+51.1+12.5)/1000</f>
        <v>0.12720000000000001</v>
      </c>
      <c r="G69" s="105"/>
      <c r="H69" s="106"/>
      <c r="I69" s="107">
        <f>I77</f>
        <v>2657.6271186440681</v>
      </c>
      <c r="J69" s="108">
        <f t="shared" si="24"/>
        <v>338.05016949152548</v>
      </c>
      <c r="K69" s="108"/>
      <c r="L69" s="108"/>
      <c r="M69" s="106">
        <f t="shared" si="25"/>
        <v>338.05016949152548</v>
      </c>
    </row>
    <row r="70" spans="1:13" s="10" customFormat="1" ht="20.25" customHeight="1" x14ac:dyDescent="0.2">
      <c r="A70" s="48"/>
      <c r="B70" s="31" t="s">
        <v>17</v>
      </c>
      <c r="C70" s="6" t="s">
        <v>73</v>
      </c>
      <c r="D70" s="74" t="s">
        <v>69</v>
      </c>
      <c r="E70" s="35">
        <v>9.1999999999999993</v>
      </c>
      <c r="F70" s="32">
        <f>E70*F62</f>
        <v>111.44328</v>
      </c>
      <c r="G70" s="105"/>
      <c r="H70" s="106"/>
      <c r="I70" s="107">
        <v>5</v>
      </c>
      <c r="J70" s="108">
        <f t="shared" ref="J70" si="26">I70*F70</f>
        <v>557.21640000000002</v>
      </c>
      <c r="K70" s="108"/>
      <c r="L70" s="108"/>
      <c r="M70" s="106">
        <f t="shared" ref="M70" si="27">J70+H70</f>
        <v>557.21640000000002</v>
      </c>
    </row>
    <row r="71" spans="1:13" s="84" customFormat="1" ht="21.75" customHeight="1" x14ac:dyDescent="0.25">
      <c r="A71" s="13"/>
      <c r="B71" s="77"/>
      <c r="C71" s="57" t="s">
        <v>64</v>
      </c>
      <c r="D71" s="81" t="s">
        <v>7</v>
      </c>
      <c r="E71" s="85">
        <v>1.92</v>
      </c>
      <c r="F71" s="79">
        <f>E71*F62</f>
        <v>23.257728</v>
      </c>
      <c r="G71" s="111"/>
      <c r="H71" s="112"/>
      <c r="I71" s="112">
        <v>4</v>
      </c>
      <c r="J71" s="112">
        <f>F71*I71</f>
        <v>93.030912000000001</v>
      </c>
      <c r="K71" s="112"/>
      <c r="L71" s="112"/>
      <c r="M71" s="98">
        <f t="shared" ref="M71" si="28">H71+J71+L71</f>
        <v>93.030912000000001</v>
      </c>
    </row>
    <row r="72" spans="1:13" s="10" customFormat="1" ht="15.75" customHeight="1" x14ac:dyDescent="0.2">
      <c r="A72" s="24"/>
      <c r="B72" s="31"/>
      <c r="C72" s="6"/>
      <c r="D72" s="7"/>
      <c r="E72" s="32"/>
      <c r="F72" s="8"/>
      <c r="G72" s="105"/>
      <c r="H72" s="106"/>
      <c r="I72" s="109"/>
      <c r="J72" s="108"/>
      <c r="K72" s="108"/>
      <c r="L72" s="108"/>
      <c r="M72" s="106"/>
    </row>
    <row r="73" spans="1:13" s="12" customFormat="1" ht="41.25" customHeight="1" x14ac:dyDescent="0.25">
      <c r="A73" s="42">
        <v>1.9</v>
      </c>
      <c r="B73" s="37" t="s">
        <v>74</v>
      </c>
      <c r="C73" s="39" t="s">
        <v>76</v>
      </c>
      <c r="D73" s="40" t="s">
        <v>34</v>
      </c>
      <c r="E73" s="41"/>
      <c r="F73" s="87">
        <f>9.79+7.87+1.92</f>
        <v>19.579999999999998</v>
      </c>
      <c r="G73" s="113"/>
      <c r="H73" s="113"/>
      <c r="I73" s="102"/>
      <c r="J73" s="114"/>
      <c r="K73" s="114"/>
      <c r="L73" s="114"/>
      <c r="M73" s="115"/>
    </row>
    <row r="74" spans="1:13" s="10" customFormat="1" ht="21.75" customHeight="1" x14ac:dyDescent="0.2">
      <c r="A74" s="42"/>
      <c r="B74" s="43" t="s">
        <v>25</v>
      </c>
      <c r="C74" s="44" t="s">
        <v>13</v>
      </c>
      <c r="D74" s="45" t="s">
        <v>34</v>
      </c>
      <c r="E74" s="46">
        <v>1</v>
      </c>
      <c r="F74" s="47">
        <f>F73*E74</f>
        <v>19.579999999999998</v>
      </c>
      <c r="G74" s="116">
        <f>90/0.8</f>
        <v>112.5</v>
      </c>
      <c r="H74" s="117">
        <f>F74*G74</f>
        <v>2202.75</v>
      </c>
      <c r="I74" s="107"/>
      <c r="J74" s="98"/>
      <c r="K74" s="98"/>
      <c r="L74" s="98"/>
      <c r="M74" s="117">
        <f>H74+J74</f>
        <v>2202.75</v>
      </c>
    </row>
    <row r="75" spans="1:13" s="80" customFormat="1" ht="21.75" customHeight="1" x14ac:dyDescent="0.25">
      <c r="A75" s="76"/>
      <c r="B75" s="77"/>
      <c r="C75" s="44" t="s">
        <v>55</v>
      </c>
      <c r="D75" s="78" t="s">
        <v>7</v>
      </c>
      <c r="E75" s="79">
        <v>3.36</v>
      </c>
      <c r="F75" s="79">
        <f>E75*F73</f>
        <v>65.788799999999995</v>
      </c>
      <c r="G75" s="110"/>
      <c r="H75" s="98"/>
      <c r="I75" s="98"/>
      <c r="J75" s="98"/>
      <c r="K75" s="98">
        <v>4</v>
      </c>
      <c r="L75" s="98">
        <f>F75*K75</f>
        <v>263.15519999999998</v>
      </c>
      <c r="M75" s="98">
        <f t="shared" ref="M75" si="29">H75+J75+L75</f>
        <v>263.15519999999998</v>
      </c>
    </row>
    <row r="76" spans="1:13" s="10" customFormat="1" ht="19.5" customHeight="1" x14ac:dyDescent="0.2">
      <c r="A76" s="42"/>
      <c r="B76" s="43" t="s">
        <v>17</v>
      </c>
      <c r="C76" s="44" t="s">
        <v>39</v>
      </c>
      <c r="D76" s="45" t="s">
        <v>34</v>
      </c>
      <c r="E76" s="88">
        <v>1.0149999999999999</v>
      </c>
      <c r="F76" s="46">
        <f>E76*F73</f>
        <v>19.873699999999996</v>
      </c>
      <c r="G76" s="116"/>
      <c r="H76" s="117"/>
      <c r="I76" s="107">
        <f>I53</f>
        <v>144.06779661016949</v>
      </c>
      <c r="J76" s="98">
        <f t="shared" ref="J76" si="30">I76*F76</f>
        <v>2863.1601694915248</v>
      </c>
      <c r="K76" s="98"/>
      <c r="L76" s="98"/>
      <c r="M76" s="117">
        <f>H76+J76</f>
        <v>2863.1601694915248</v>
      </c>
    </row>
    <row r="77" spans="1:13" s="10" customFormat="1" ht="20.25" customHeight="1" x14ac:dyDescent="0.2">
      <c r="A77" s="48"/>
      <c r="B77" s="43" t="s">
        <v>17</v>
      </c>
      <c r="C77" s="6" t="s">
        <v>37</v>
      </c>
      <c r="D77" s="65" t="s">
        <v>15</v>
      </c>
      <c r="E77" s="35"/>
      <c r="F77" s="32">
        <f>(680.6+547.2+133.5)/1000</f>
        <v>1.3613000000000002</v>
      </c>
      <c r="G77" s="105"/>
      <c r="H77" s="106"/>
      <c r="I77" s="107">
        <f>3136/1.18</f>
        <v>2657.6271186440681</v>
      </c>
      <c r="J77" s="108">
        <f t="shared" ref="J77" si="31">I77*F77</f>
        <v>3617.8277966101705</v>
      </c>
      <c r="K77" s="108"/>
      <c r="L77" s="108"/>
      <c r="M77" s="106">
        <f t="shared" ref="M77" si="32">J77+H77</f>
        <v>3617.8277966101705</v>
      </c>
    </row>
    <row r="78" spans="1:13" s="84" customFormat="1" ht="17.25" customHeight="1" x14ac:dyDescent="0.25">
      <c r="A78" s="13"/>
      <c r="B78" s="43" t="s">
        <v>17</v>
      </c>
      <c r="C78" s="57" t="s">
        <v>68</v>
      </c>
      <c r="D78" s="81" t="s">
        <v>69</v>
      </c>
      <c r="E78" s="82"/>
      <c r="F78" s="79">
        <f>(F77)*10</f>
        <v>13.613000000000001</v>
      </c>
      <c r="G78" s="111"/>
      <c r="H78" s="112"/>
      <c r="I78" s="112">
        <v>4</v>
      </c>
      <c r="J78" s="112">
        <f>F78*I78</f>
        <v>54.452000000000005</v>
      </c>
      <c r="K78" s="112"/>
      <c r="L78" s="112"/>
      <c r="M78" s="98">
        <f t="shared" ref="M78:M81" si="33">H78+J78+L78</f>
        <v>54.452000000000005</v>
      </c>
    </row>
    <row r="79" spans="1:13" s="84" customFormat="1" ht="17.25" customHeight="1" x14ac:dyDescent="0.25">
      <c r="A79" s="13"/>
      <c r="B79" s="43" t="s">
        <v>17</v>
      </c>
      <c r="C79" s="57" t="s">
        <v>66</v>
      </c>
      <c r="D79" s="81" t="s">
        <v>4</v>
      </c>
      <c r="E79" s="82"/>
      <c r="F79" s="79">
        <f>102*1.2*1.2</f>
        <v>146.88</v>
      </c>
      <c r="G79" s="111"/>
      <c r="H79" s="112"/>
      <c r="I79" s="112">
        <f>32.81/1.18</f>
        <v>27.805084745762716</v>
      </c>
      <c r="J79" s="112">
        <f>F79*I79</f>
        <v>4084.0108474576277</v>
      </c>
      <c r="K79" s="112"/>
      <c r="L79" s="112"/>
      <c r="M79" s="98">
        <f t="shared" si="33"/>
        <v>4084.0108474576277</v>
      </c>
    </row>
    <row r="80" spans="1:13" s="84" customFormat="1" ht="17.25" customHeight="1" x14ac:dyDescent="0.25">
      <c r="A80" s="13"/>
      <c r="B80" s="43" t="s">
        <v>17</v>
      </c>
      <c r="C80" s="57" t="s">
        <v>67</v>
      </c>
      <c r="D80" s="81" t="s">
        <v>34</v>
      </c>
      <c r="E80" s="85">
        <f>(5.81+0.67)/100</f>
        <v>6.4799999999999996E-2</v>
      </c>
      <c r="F80" s="79">
        <f>E80*F73</f>
        <v>1.2687839999999999</v>
      </c>
      <c r="G80" s="111"/>
      <c r="H80" s="112"/>
      <c r="I80" s="112">
        <v>700</v>
      </c>
      <c r="J80" s="112">
        <f>F80*I80</f>
        <v>888.14879999999994</v>
      </c>
      <c r="K80" s="112"/>
      <c r="L80" s="112"/>
      <c r="M80" s="98">
        <f t="shared" si="33"/>
        <v>888.14879999999994</v>
      </c>
    </row>
    <row r="81" spans="1:13" s="84" customFormat="1" ht="18" customHeight="1" x14ac:dyDescent="0.25">
      <c r="A81" s="13"/>
      <c r="B81" s="77"/>
      <c r="C81" s="57" t="s">
        <v>64</v>
      </c>
      <c r="D81" s="81" t="s">
        <v>7</v>
      </c>
      <c r="E81" s="82">
        <v>0.6</v>
      </c>
      <c r="F81" s="79">
        <f>E81*F71</f>
        <v>13.954636799999999</v>
      </c>
      <c r="G81" s="111"/>
      <c r="H81" s="112"/>
      <c r="I81" s="112">
        <v>4</v>
      </c>
      <c r="J81" s="112">
        <f>F81*I81</f>
        <v>55.818547199999998</v>
      </c>
      <c r="K81" s="112"/>
      <c r="L81" s="112"/>
      <c r="M81" s="98">
        <f t="shared" si="33"/>
        <v>55.818547199999998</v>
      </c>
    </row>
    <row r="82" spans="1:13" s="84" customFormat="1" ht="18" customHeight="1" x14ac:dyDescent="0.25">
      <c r="A82" s="13"/>
      <c r="B82" s="77"/>
      <c r="C82" s="57"/>
      <c r="D82" s="81"/>
      <c r="E82" s="82"/>
      <c r="F82" s="79"/>
      <c r="G82" s="111"/>
      <c r="H82" s="112"/>
      <c r="I82" s="112"/>
      <c r="J82" s="112"/>
      <c r="K82" s="112"/>
      <c r="L82" s="112"/>
      <c r="M82" s="98"/>
    </row>
    <row r="83" spans="1:13" s="12" customFormat="1" ht="33" customHeight="1" x14ac:dyDescent="0.25">
      <c r="A83" s="79">
        <v>1.1000000000000001</v>
      </c>
      <c r="B83" s="37" t="s">
        <v>74</v>
      </c>
      <c r="C83" s="89" t="s">
        <v>75</v>
      </c>
      <c r="D83" s="40" t="s">
        <v>15</v>
      </c>
      <c r="E83" s="41"/>
      <c r="F83" s="87">
        <f>F86+1.28+0.05</f>
        <v>2.2184200000000001</v>
      </c>
      <c r="G83" s="113"/>
      <c r="H83" s="113"/>
      <c r="I83" s="102"/>
      <c r="J83" s="114"/>
      <c r="K83" s="114"/>
      <c r="L83" s="114"/>
      <c r="M83" s="115"/>
    </row>
    <row r="84" spans="1:13" s="10" customFormat="1" ht="18.75" customHeight="1" x14ac:dyDescent="0.2">
      <c r="A84" s="42"/>
      <c r="B84" s="43" t="s">
        <v>25</v>
      </c>
      <c r="C84" s="44" t="s">
        <v>13</v>
      </c>
      <c r="D84" s="45" t="s">
        <v>52</v>
      </c>
      <c r="E84" s="46">
        <v>210</v>
      </c>
      <c r="F84" s="47">
        <f>F83*E84</f>
        <v>465.8682</v>
      </c>
      <c r="G84" s="116">
        <v>7.8</v>
      </c>
      <c r="H84" s="117">
        <f>F84*G84</f>
        <v>3633.77196</v>
      </c>
      <c r="I84" s="107"/>
      <c r="J84" s="98"/>
      <c r="K84" s="98"/>
      <c r="L84" s="98"/>
      <c r="M84" s="117">
        <f>H84+J84</f>
        <v>3633.77196</v>
      </c>
    </row>
    <row r="85" spans="1:13" s="80" customFormat="1" ht="18.75" customHeight="1" x14ac:dyDescent="0.25">
      <c r="A85" s="76"/>
      <c r="B85" s="77"/>
      <c r="C85" s="44" t="s">
        <v>55</v>
      </c>
      <c r="D85" s="78" t="s">
        <v>7</v>
      </c>
      <c r="E85" s="79">
        <v>1.4</v>
      </c>
      <c r="F85" s="79">
        <f>E85*F83</f>
        <v>3.105788</v>
      </c>
      <c r="G85" s="110"/>
      <c r="H85" s="98"/>
      <c r="I85" s="98"/>
      <c r="J85" s="98"/>
      <c r="K85" s="98">
        <v>4</v>
      </c>
      <c r="L85" s="98">
        <f>F85*K85</f>
        <v>12.423152</v>
      </c>
      <c r="M85" s="98">
        <f t="shared" ref="M85:M89" si="34">H85+J85+L85</f>
        <v>12.423152</v>
      </c>
    </row>
    <row r="86" spans="1:13" s="10" customFormat="1" ht="18.75" customHeight="1" x14ac:dyDescent="0.2">
      <c r="A86" s="42"/>
      <c r="B86" s="43" t="s">
        <v>17</v>
      </c>
      <c r="C86" s="44" t="s">
        <v>77</v>
      </c>
      <c r="D86" s="45" t="s">
        <v>15</v>
      </c>
      <c r="E86" s="46"/>
      <c r="F86" s="46">
        <f>(17.42*51)/1000</f>
        <v>0.8884200000000001</v>
      </c>
      <c r="G86" s="118"/>
      <c r="H86" s="119"/>
      <c r="I86" s="107">
        <f>I68</f>
        <v>2603.3898305084749</v>
      </c>
      <c r="J86" s="98">
        <f>F86*I86</f>
        <v>2312.9035932203396</v>
      </c>
      <c r="K86" s="98"/>
      <c r="L86" s="98"/>
      <c r="M86" s="98">
        <f t="shared" si="34"/>
        <v>2312.9035932203396</v>
      </c>
    </row>
    <row r="87" spans="1:13" s="10" customFormat="1" ht="26.25" customHeight="1" x14ac:dyDescent="0.2">
      <c r="A87" s="42"/>
      <c r="B87" s="43" t="s">
        <v>17</v>
      </c>
      <c r="C87" s="44" t="s">
        <v>88</v>
      </c>
      <c r="D87" s="45" t="s">
        <v>4</v>
      </c>
      <c r="E87" s="46"/>
      <c r="F87" s="46">
        <f>0.4*0.4*51</f>
        <v>8.1600000000000019</v>
      </c>
      <c r="G87" s="118"/>
      <c r="H87" s="119"/>
      <c r="I87" s="107">
        <v>612.375</v>
      </c>
      <c r="J87" s="98">
        <f>F87*I87</f>
        <v>4996.9800000000014</v>
      </c>
      <c r="K87" s="98"/>
      <c r="L87" s="98"/>
      <c r="M87" s="98">
        <f t="shared" si="34"/>
        <v>4996.9800000000014</v>
      </c>
    </row>
    <row r="88" spans="1:13" s="10" customFormat="1" ht="18.75" customHeight="1" x14ac:dyDescent="0.2">
      <c r="A88" s="42"/>
      <c r="B88" s="43" t="s">
        <v>17</v>
      </c>
      <c r="C88" s="44" t="s">
        <v>78</v>
      </c>
      <c r="D88" s="45" t="s">
        <v>5</v>
      </c>
      <c r="E88" s="46"/>
      <c r="F88" s="46">
        <v>300</v>
      </c>
      <c r="G88" s="118"/>
      <c r="H88" s="119"/>
      <c r="I88" s="107">
        <v>1</v>
      </c>
      <c r="J88" s="98">
        <f>F88*I88</f>
        <v>300</v>
      </c>
      <c r="K88" s="98"/>
      <c r="L88" s="98"/>
      <c r="M88" s="98">
        <f t="shared" si="34"/>
        <v>300</v>
      </c>
    </row>
    <row r="89" spans="1:13" s="10" customFormat="1" ht="18.75" customHeight="1" x14ac:dyDescent="0.2">
      <c r="A89" s="42"/>
      <c r="B89" s="43" t="s">
        <v>17</v>
      </c>
      <c r="C89" s="44" t="s">
        <v>79</v>
      </c>
      <c r="D89" s="45" t="s">
        <v>5</v>
      </c>
      <c r="E89" s="46"/>
      <c r="F89" s="46">
        <f>8*51</f>
        <v>408</v>
      </c>
      <c r="G89" s="118"/>
      <c r="H89" s="119"/>
      <c r="I89" s="107">
        <v>2</v>
      </c>
      <c r="J89" s="98">
        <f>F89*I89</f>
        <v>816</v>
      </c>
      <c r="K89" s="98"/>
      <c r="L89" s="98"/>
      <c r="M89" s="98">
        <f t="shared" si="34"/>
        <v>816</v>
      </c>
    </row>
    <row r="90" spans="1:13" s="84" customFormat="1" ht="18.75" customHeight="1" x14ac:dyDescent="0.25">
      <c r="A90" s="13"/>
      <c r="B90" s="77"/>
      <c r="C90" s="57" t="s">
        <v>64</v>
      </c>
      <c r="D90" s="81" t="s">
        <v>7</v>
      </c>
      <c r="E90" s="82">
        <v>2</v>
      </c>
      <c r="F90" s="79">
        <f>E90*F80</f>
        <v>2.5375679999999998</v>
      </c>
      <c r="G90" s="111"/>
      <c r="H90" s="112"/>
      <c r="I90" s="112">
        <v>4</v>
      </c>
      <c r="J90" s="112">
        <f>F90*I90</f>
        <v>10.150271999999999</v>
      </c>
      <c r="K90" s="112"/>
      <c r="L90" s="112"/>
      <c r="M90" s="98">
        <f t="shared" ref="M90" si="35">H90+J90+L90</f>
        <v>10.150271999999999</v>
      </c>
    </row>
    <row r="91" spans="1:13" s="10" customFormat="1" ht="19.5" customHeight="1" x14ac:dyDescent="0.2">
      <c r="A91" s="42"/>
      <c r="B91" s="43"/>
      <c r="C91" s="44"/>
      <c r="D91" s="45"/>
      <c r="E91" s="46"/>
      <c r="F91" s="46"/>
      <c r="G91" s="116"/>
      <c r="H91" s="117"/>
      <c r="I91" s="109"/>
      <c r="J91" s="98"/>
      <c r="K91" s="98"/>
      <c r="L91" s="98"/>
      <c r="M91" s="117"/>
    </row>
    <row r="92" spans="1:13" s="12" customFormat="1" ht="40.5" customHeight="1" x14ac:dyDescent="0.25">
      <c r="A92" s="48">
        <v>1.1100000000000001</v>
      </c>
      <c r="B92" s="37" t="s">
        <v>80</v>
      </c>
      <c r="C92" s="28" t="s">
        <v>43</v>
      </c>
      <c r="D92" s="29" t="s">
        <v>34</v>
      </c>
      <c r="E92" s="30"/>
      <c r="F92" s="34">
        <v>97.45</v>
      </c>
      <c r="G92" s="101"/>
      <c r="H92" s="101"/>
      <c r="I92" s="102"/>
      <c r="J92" s="103"/>
      <c r="K92" s="103"/>
      <c r="L92" s="103"/>
      <c r="M92" s="104"/>
    </row>
    <row r="93" spans="1:13" s="10" customFormat="1" ht="21" customHeight="1" x14ac:dyDescent="0.2">
      <c r="A93" s="24"/>
      <c r="B93" s="31" t="s">
        <v>25</v>
      </c>
      <c r="C93" s="6" t="s">
        <v>13</v>
      </c>
      <c r="D93" s="7" t="s">
        <v>34</v>
      </c>
      <c r="E93" s="32">
        <v>1</v>
      </c>
      <c r="F93" s="8">
        <f>E93*F92</f>
        <v>97.45</v>
      </c>
      <c r="G93" s="105">
        <f>G74</f>
        <v>112.5</v>
      </c>
      <c r="H93" s="106">
        <f>F93*G93</f>
        <v>10963.125</v>
      </c>
      <c r="I93" s="107"/>
      <c r="J93" s="108"/>
      <c r="K93" s="108"/>
      <c r="L93" s="108"/>
      <c r="M93" s="106">
        <f>J93+H93</f>
        <v>10963.125</v>
      </c>
    </row>
    <row r="94" spans="1:13" s="80" customFormat="1" ht="18.75" customHeight="1" x14ac:dyDescent="0.25">
      <c r="A94" s="76"/>
      <c r="B94" s="77"/>
      <c r="C94" s="44" t="s">
        <v>55</v>
      </c>
      <c r="D94" s="78" t="s">
        <v>7</v>
      </c>
      <c r="E94" s="79">
        <v>1.1399999999999999</v>
      </c>
      <c r="F94" s="79">
        <f>E94*F92</f>
        <v>111.09299999999999</v>
      </c>
      <c r="G94" s="110"/>
      <c r="H94" s="98"/>
      <c r="I94" s="98"/>
      <c r="J94" s="98"/>
      <c r="K94" s="98">
        <v>4</v>
      </c>
      <c r="L94" s="98">
        <f>F94*K94</f>
        <v>444.37199999999996</v>
      </c>
      <c r="M94" s="98">
        <f t="shared" ref="M94" si="36">H94+J94+L94</f>
        <v>444.37199999999996</v>
      </c>
    </row>
    <row r="95" spans="1:13" s="10" customFormat="1" ht="19.5" customHeight="1" x14ac:dyDescent="0.2">
      <c r="A95" s="42"/>
      <c r="B95" s="43" t="s">
        <v>17</v>
      </c>
      <c r="C95" s="44" t="s">
        <v>39</v>
      </c>
      <c r="D95" s="45" t="s">
        <v>34</v>
      </c>
      <c r="E95" s="88">
        <v>1.0149999999999999</v>
      </c>
      <c r="F95" s="46">
        <f>E95*F92</f>
        <v>98.911749999999998</v>
      </c>
      <c r="G95" s="116"/>
      <c r="H95" s="117"/>
      <c r="I95" s="109">
        <f>I76</f>
        <v>144.06779661016949</v>
      </c>
      <c r="J95" s="98">
        <f>I95*F95</f>
        <v>14249.997881355932</v>
      </c>
      <c r="K95" s="98"/>
      <c r="L95" s="98"/>
      <c r="M95" s="117">
        <f>H95+J95</f>
        <v>14249.997881355932</v>
      </c>
    </row>
    <row r="96" spans="1:13" s="10" customFormat="1" ht="20.25" customHeight="1" x14ac:dyDescent="0.2">
      <c r="A96" s="48"/>
      <c r="B96" s="43" t="s">
        <v>17</v>
      </c>
      <c r="C96" s="6" t="s">
        <v>38</v>
      </c>
      <c r="D96" s="65" t="s">
        <v>15</v>
      </c>
      <c r="E96" s="35"/>
      <c r="F96" s="32">
        <f>2286.2/1000</f>
        <v>2.2862</v>
      </c>
      <c r="G96" s="105"/>
      <c r="H96" s="106"/>
      <c r="I96" s="109">
        <f>I86</f>
        <v>2603.3898305084749</v>
      </c>
      <c r="J96" s="108">
        <f t="shared" ref="J96:J97" si="37">I96*F96</f>
        <v>5951.8698305084754</v>
      </c>
      <c r="K96" s="108"/>
      <c r="L96" s="108"/>
      <c r="M96" s="106">
        <f t="shared" ref="M96:M97" si="38">J96+H96</f>
        <v>5951.8698305084754</v>
      </c>
    </row>
    <row r="97" spans="1:13" s="10" customFormat="1" ht="20.25" customHeight="1" x14ac:dyDescent="0.2">
      <c r="A97" s="48"/>
      <c r="B97" s="43" t="s">
        <v>17</v>
      </c>
      <c r="C97" s="6" t="s">
        <v>37</v>
      </c>
      <c r="D97" s="65" t="s">
        <v>15</v>
      </c>
      <c r="E97" s="35"/>
      <c r="F97" s="32">
        <f>(62.1+106.5)/1000</f>
        <v>0.1686</v>
      </c>
      <c r="G97" s="105"/>
      <c r="H97" s="106"/>
      <c r="I97" s="109">
        <f>I77</f>
        <v>2657.6271186440681</v>
      </c>
      <c r="J97" s="108">
        <f t="shared" si="37"/>
        <v>448.07593220338987</v>
      </c>
      <c r="K97" s="108"/>
      <c r="L97" s="108"/>
      <c r="M97" s="106">
        <f t="shared" si="38"/>
        <v>448.07593220338987</v>
      </c>
    </row>
    <row r="98" spans="1:13" s="84" customFormat="1" ht="17.25" customHeight="1" x14ac:dyDescent="0.25">
      <c r="A98" s="13"/>
      <c r="B98" s="43" t="s">
        <v>17</v>
      </c>
      <c r="C98" s="57" t="s">
        <v>68</v>
      </c>
      <c r="D98" s="81" t="s">
        <v>69</v>
      </c>
      <c r="E98" s="82"/>
      <c r="F98" s="79">
        <f>(F97+F96)*10</f>
        <v>24.548000000000002</v>
      </c>
      <c r="G98" s="111"/>
      <c r="H98" s="112"/>
      <c r="I98" s="112">
        <v>4</v>
      </c>
      <c r="J98" s="112">
        <f>F98*I98</f>
        <v>98.192000000000007</v>
      </c>
      <c r="K98" s="112"/>
      <c r="L98" s="112"/>
      <c r="M98" s="98">
        <f t="shared" ref="M98:M101" si="39">H98+J98+L98</f>
        <v>98.192000000000007</v>
      </c>
    </row>
    <row r="99" spans="1:13" s="84" customFormat="1" ht="17.25" customHeight="1" x14ac:dyDescent="0.25">
      <c r="A99" s="13"/>
      <c r="B99" s="43" t="s">
        <v>17</v>
      </c>
      <c r="C99" s="57" t="s">
        <v>66</v>
      </c>
      <c r="D99" s="81" t="s">
        <v>4</v>
      </c>
      <c r="E99" s="82"/>
      <c r="F99" s="79">
        <f>F92/0.3*2</f>
        <v>649.66666666666674</v>
      </c>
      <c r="G99" s="111"/>
      <c r="H99" s="112"/>
      <c r="I99" s="112">
        <f>32.81/1.18</f>
        <v>27.805084745762716</v>
      </c>
      <c r="J99" s="112">
        <f>F99*I99</f>
        <v>18064.036723163848</v>
      </c>
      <c r="K99" s="112"/>
      <c r="L99" s="112"/>
      <c r="M99" s="98">
        <f t="shared" si="39"/>
        <v>18064.036723163848</v>
      </c>
    </row>
    <row r="100" spans="1:13" s="84" customFormat="1" ht="17.25" customHeight="1" x14ac:dyDescent="0.25">
      <c r="A100" s="13"/>
      <c r="B100" s="43" t="s">
        <v>17</v>
      </c>
      <c r="C100" s="57" t="s">
        <v>67</v>
      </c>
      <c r="D100" s="81" t="s">
        <v>34</v>
      </c>
      <c r="E100" s="85">
        <f>(0.33+3.66)/100</f>
        <v>3.9900000000000005E-2</v>
      </c>
      <c r="F100" s="79">
        <f>E100*F92</f>
        <v>3.8882550000000005</v>
      </c>
      <c r="G100" s="111"/>
      <c r="H100" s="112"/>
      <c r="I100" s="112">
        <v>700</v>
      </c>
      <c r="J100" s="112">
        <f>F100*I100</f>
        <v>2721.7785000000003</v>
      </c>
      <c r="K100" s="112"/>
      <c r="L100" s="112"/>
      <c r="M100" s="98">
        <f t="shared" si="39"/>
        <v>2721.7785000000003</v>
      </c>
    </row>
    <row r="101" spans="1:13" s="84" customFormat="1" ht="18" customHeight="1" x14ac:dyDescent="0.25">
      <c r="A101" s="13"/>
      <c r="B101" s="77"/>
      <c r="C101" s="57" t="s">
        <v>64</v>
      </c>
      <c r="D101" s="81" t="s">
        <v>7</v>
      </c>
      <c r="E101" s="82">
        <v>0.32</v>
      </c>
      <c r="F101" s="79">
        <f>E101*F92</f>
        <v>31.184000000000001</v>
      </c>
      <c r="G101" s="111"/>
      <c r="H101" s="112"/>
      <c r="I101" s="112">
        <v>4</v>
      </c>
      <c r="J101" s="112">
        <f>F101*I101</f>
        <v>124.736</v>
      </c>
      <c r="K101" s="112"/>
      <c r="L101" s="112"/>
      <c r="M101" s="98">
        <f t="shared" si="39"/>
        <v>124.736</v>
      </c>
    </row>
    <row r="102" spans="1:13" s="10" customFormat="1" ht="15.75" customHeight="1" x14ac:dyDescent="0.2">
      <c r="A102" s="24"/>
      <c r="B102" s="31"/>
      <c r="C102" s="6"/>
      <c r="D102" s="7"/>
      <c r="E102" s="32"/>
      <c r="F102" s="8"/>
      <c r="G102" s="105"/>
      <c r="H102" s="106"/>
      <c r="I102" s="109"/>
      <c r="J102" s="108"/>
      <c r="K102" s="108"/>
      <c r="L102" s="108"/>
      <c r="M102" s="106"/>
    </row>
    <row r="103" spans="1:13" s="12" customFormat="1" ht="30.75" customHeight="1" x14ac:dyDescent="0.25">
      <c r="A103" s="48">
        <v>1.1200000000000001</v>
      </c>
      <c r="B103" s="37" t="s">
        <v>61</v>
      </c>
      <c r="C103" s="28" t="s">
        <v>81</v>
      </c>
      <c r="D103" s="29" t="s">
        <v>34</v>
      </c>
      <c r="E103" s="30"/>
      <c r="F103" s="34">
        <f>460</f>
        <v>460</v>
      </c>
      <c r="G103" s="101"/>
      <c r="H103" s="101"/>
      <c r="I103" s="102"/>
      <c r="J103" s="103"/>
      <c r="K103" s="103"/>
      <c r="L103" s="103"/>
      <c r="M103" s="104"/>
    </row>
    <row r="104" spans="1:13" s="10" customFormat="1" ht="18.75" customHeight="1" x14ac:dyDescent="0.2">
      <c r="A104" s="48"/>
      <c r="B104" s="31" t="s">
        <v>25</v>
      </c>
      <c r="C104" s="6" t="s">
        <v>36</v>
      </c>
      <c r="D104" s="74" t="s">
        <v>52</v>
      </c>
      <c r="E104" s="32">
        <v>0.89</v>
      </c>
      <c r="F104" s="8">
        <f>E104*F103</f>
        <v>409.40000000000003</v>
      </c>
      <c r="G104" s="105">
        <v>7.8</v>
      </c>
      <c r="H104" s="106">
        <f>F104*G104</f>
        <v>3193.32</v>
      </c>
      <c r="I104" s="107"/>
      <c r="J104" s="108"/>
      <c r="K104" s="108"/>
      <c r="L104" s="108"/>
      <c r="M104" s="106">
        <f>J104+H104+L104</f>
        <v>3193.32</v>
      </c>
    </row>
    <row r="105" spans="1:13" s="10" customFormat="1" ht="20.25" customHeight="1" x14ac:dyDescent="0.2">
      <c r="A105" s="48"/>
      <c r="B105" s="31"/>
      <c r="C105" s="6" t="s">
        <v>62</v>
      </c>
      <c r="D105" s="74" t="s">
        <v>7</v>
      </c>
      <c r="E105" s="32">
        <v>0.37</v>
      </c>
      <c r="F105" s="32">
        <f>E105*F103</f>
        <v>170.2</v>
      </c>
      <c r="G105" s="105"/>
      <c r="H105" s="106"/>
      <c r="I105" s="109"/>
      <c r="J105" s="108"/>
      <c r="K105" s="108">
        <v>4</v>
      </c>
      <c r="L105" s="108">
        <f>F105*K105</f>
        <v>680.8</v>
      </c>
      <c r="M105" s="106">
        <f t="shared" ref="M105:M107" si="40">J105+H105+L105</f>
        <v>680.8</v>
      </c>
    </row>
    <row r="106" spans="1:13" s="10" customFormat="1" ht="20.25" customHeight="1" x14ac:dyDescent="0.2">
      <c r="A106" s="48"/>
      <c r="B106" s="31" t="s">
        <v>17</v>
      </c>
      <c r="C106" s="6" t="s">
        <v>63</v>
      </c>
      <c r="D106" s="74" t="s">
        <v>34</v>
      </c>
      <c r="E106" s="32">
        <v>1.1499999999999999</v>
      </c>
      <c r="F106" s="32">
        <f>E106*F103</f>
        <v>529</v>
      </c>
      <c r="G106" s="105"/>
      <c r="H106" s="106"/>
      <c r="I106" s="107">
        <f>15/1.18</f>
        <v>12.711864406779661</v>
      </c>
      <c r="J106" s="108">
        <f>F106*I106</f>
        <v>6724.5762711864409</v>
      </c>
      <c r="K106" s="108"/>
      <c r="L106" s="108"/>
      <c r="M106" s="106">
        <f t="shared" si="40"/>
        <v>6724.5762711864409</v>
      </c>
    </row>
    <row r="107" spans="1:13" s="10" customFormat="1" ht="20.25" customHeight="1" x14ac:dyDescent="0.2">
      <c r="A107" s="48"/>
      <c r="B107" s="31"/>
      <c r="C107" s="6" t="s">
        <v>64</v>
      </c>
      <c r="D107" s="74" t="s">
        <v>7</v>
      </c>
      <c r="E107" s="32">
        <v>0.02</v>
      </c>
      <c r="F107" s="32">
        <f>E107*F103</f>
        <v>9.2000000000000011</v>
      </c>
      <c r="G107" s="105"/>
      <c r="H107" s="106"/>
      <c r="I107" s="107">
        <v>4</v>
      </c>
      <c r="J107" s="108">
        <f>F107*I107</f>
        <v>36.800000000000004</v>
      </c>
      <c r="K107" s="108"/>
      <c r="L107" s="108"/>
      <c r="M107" s="106">
        <f t="shared" si="40"/>
        <v>36.800000000000004</v>
      </c>
    </row>
    <row r="108" spans="1:13" s="10" customFormat="1" ht="18.75" customHeight="1" x14ac:dyDescent="0.2">
      <c r="A108" s="48"/>
      <c r="B108" s="31"/>
      <c r="C108" s="6"/>
      <c r="D108" s="74"/>
      <c r="E108" s="32"/>
      <c r="F108" s="8"/>
      <c r="G108" s="105"/>
      <c r="H108" s="106"/>
      <c r="I108" s="109"/>
      <c r="J108" s="108"/>
      <c r="K108" s="108"/>
      <c r="L108" s="108"/>
      <c r="M108" s="106"/>
    </row>
    <row r="109" spans="1:13" s="12" customFormat="1" ht="32.25" customHeight="1" x14ac:dyDescent="0.25">
      <c r="A109" s="48">
        <v>1.1299999999999999</v>
      </c>
      <c r="B109" s="75" t="s">
        <v>71</v>
      </c>
      <c r="C109" s="28" t="s">
        <v>82</v>
      </c>
      <c r="D109" s="29" t="s">
        <v>34</v>
      </c>
      <c r="E109" s="30"/>
      <c r="F109" s="86">
        <v>230</v>
      </c>
      <c r="G109" s="101"/>
      <c r="H109" s="101"/>
      <c r="I109" s="102"/>
      <c r="J109" s="103"/>
      <c r="K109" s="103"/>
      <c r="L109" s="103"/>
      <c r="M109" s="104"/>
    </row>
    <row r="110" spans="1:13" s="10" customFormat="1" ht="20.25" customHeight="1" x14ac:dyDescent="0.2">
      <c r="A110" s="48"/>
      <c r="B110" s="31" t="s">
        <v>25</v>
      </c>
      <c r="C110" s="6" t="s">
        <v>36</v>
      </c>
      <c r="D110" s="74" t="s">
        <v>34</v>
      </c>
      <c r="E110" s="32">
        <v>1</v>
      </c>
      <c r="F110" s="8">
        <f>E110*F109</f>
        <v>230</v>
      </c>
      <c r="G110" s="105">
        <f>30/0.8</f>
        <v>37.5</v>
      </c>
      <c r="H110" s="106">
        <f>F110*G110</f>
        <v>8625</v>
      </c>
      <c r="I110" s="107"/>
      <c r="J110" s="108"/>
      <c r="K110" s="108"/>
      <c r="L110" s="108"/>
      <c r="M110" s="106">
        <f>J110+H110</f>
        <v>8625</v>
      </c>
    </row>
    <row r="111" spans="1:13" s="80" customFormat="1" ht="20.25" customHeight="1" x14ac:dyDescent="0.25">
      <c r="A111" s="76"/>
      <c r="B111" s="77"/>
      <c r="C111" s="44" t="s">
        <v>55</v>
      </c>
      <c r="D111" s="78" t="s">
        <v>7</v>
      </c>
      <c r="E111" s="79">
        <f>28.3/100</f>
        <v>0.28300000000000003</v>
      </c>
      <c r="F111" s="79">
        <f>E111*F109</f>
        <v>65.09</v>
      </c>
      <c r="G111" s="110"/>
      <c r="H111" s="98"/>
      <c r="I111" s="98"/>
      <c r="J111" s="98"/>
      <c r="K111" s="98">
        <v>4</v>
      </c>
      <c r="L111" s="98">
        <f>F111*K111</f>
        <v>260.36</v>
      </c>
      <c r="M111" s="98">
        <f t="shared" ref="M111" si="41">H111+J111+L111</f>
        <v>260.36</v>
      </c>
    </row>
    <row r="112" spans="1:13" s="10" customFormat="1" ht="20.25" customHeight="1" x14ac:dyDescent="0.2">
      <c r="A112" s="48"/>
      <c r="B112" s="31" t="s">
        <v>17</v>
      </c>
      <c r="C112" s="6" t="s">
        <v>35</v>
      </c>
      <c r="D112" s="74" t="s">
        <v>34</v>
      </c>
      <c r="E112" s="35">
        <v>1.02</v>
      </c>
      <c r="F112" s="32">
        <f>E112*F109</f>
        <v>234.6</v>
      </c>
      <c r="G112" s="105"/>
      <c r="H112" s="106"/>
      <c r="I112" s="107">
        <f>130/1.18</f>
        <v>110.16949152542374</v>
      </c>
      <c r="J112" s="108">
        <f>I112*F112</f>
        <v>25845.762711864409</v>
      </c>
      <c r="K112" s="108"/>
      <c r="L112" s="108"/>
      <c r="M112" s="106">
        <f>J112+H112</f>
        <v>25845.762711864409</v>
      </c>
    </row>
    <row r="113" spans="1:13" s="84" customFormat="1" ht="17.25" customHeight="1" x14ac:dyDescent="0.25">
      <c r="A113" s="13"/>
      <c r="B113" s="77"/>
      <c r="C113" s="57" t="s">
        <v>64</v>
      </c>
      <c r="D113" s="81" t="s">
        <v>7</v>
      </c>
      <c r="E113" s="85">
        <v>0.62</v>
      </c>
      <c r="F113" s="79">
        <f>E113*F109</f>
        <v>142.6</v>
      </c>
      <c r="G113" s="111"/>
      <c r="H113" s="112"/>
      <c r="I113" s="112">
        <v>4</v>
      </c>
      <c r="J113" s="112">
        <f>F113*I113</f>
        <v>570.4</v>
      </c>
      <c r="K113" s="112"/>
      <c r="L113" s="112"/>
      <c r="M113" s="98">
        <f t="shared" ref="M113" si="42">H113+J113+L113</f>
        <v>570.4</v>
      </c>
    </row>
    <row r="114" spans="1:13" s="10" customFormat="1" ht="20.25" customHeight="1" x14ac:dyDescent="0.2">
      <c r="A114" s="48"/>
      <c r="B114" s="31"/>
      <c r="C114" s="6"/>
      <c r="D114" s="74"/>
      <c r="E114" s="32"/>
      <c r="F114" s="8"/>
      <c r="G114" s="105"/>
      <c r="H114" s="106"/>
      <c r="I114" s="109"/>
      <c r="J114" s="108"/>
      <c r="K114" s="108"/>
      <c r="L114" s="108"/>
      <c r="M114" s="106"/>
    </row>
    <row r="115" spans="1:13" s="12" customFormat="1" ht="56.25" customHeight="1" x14ac:dyDescent="0.25">
      <c r="A115" s="48">
        <v>1.1399999999999999</v>
      </c>
      <c r="B115" s="37" t="s">
        <v>85</v>
      </c>
      <c r="C115" s="28" t="s">
        <v>86</v>
      </c>
      <c r="D115" s="29" t="s">
        <v>34</v>
      </c>
      <c r="E115" s="30"/>
      <c r="F115" s="34">
        <v>730</v>
      </c>
      <c r="G115" s="101"/>
      <c r="H115" s="101"/>
      <c r="I115" s="102"/>
      <c r="J115" s="103"/>
      <c r="K115" s="103"/>
      <c r="L115" s="103"/>
      <c r="M115" s="104"/>
    </row>
    <row r="116" spans="1:13" s="10" customFormat="1" ht="22.5" customHeight="1" x14ac:dyDescent="0.2">
      <c r="A116" s="24"/>
      <c r="B116" s="31" t="s">
        <v>25</v>
      </c>
      <c r="C116" s="6" t="s">
        <v>13</v>
      </c>
      <c r="D116" s="7" t="s">
        <v>34</v>
      </c>
      <c r="E116" s="32">
        <v>1</v>
      </c>
      <c r="F116" s="8">
        <f>E116*F115</f>
        <v>730</v>
      </c>
      <c r="G116" s="105">
        <f>G51</f>
        <v>75</v>
      </c>
      <c r="H116" s="106">
        <f>F116*G116</f>
        <v>54750</v>
      </c>
      <c r="I116" s="107"/>
      <c r="J116" s="108"/>
      <c r="K116" s="108"/>
      <c r="L116" s="108"/>
      <c r="M116" s="106">
        <f>J116+H116</f>
        <v>54750</v>
      </c>
    </row>
    <row r="117" spans="1:13" s="80" customFormat="1" ht="18.75" customHeight="1" x14ac:dyDescent="0.25">
      <c r="A117" s="76"/>
      <c r="B117" s="77"/>
      <c r="C117" s="44" t="s">
        <v>55</v>
      </c>
      <c r="D117" s="78" t="s">
        <v>7</v>
      </c>
      <c r="E117" s="79">
        <v>0.77</v>
      </c>
      <c r="F117" s="79">
        <f>E117*F115</f>
        <v>562.1</v>
      </c>
      <c r="G117" s="110"/>
      <c r="H117" s="98"/>
      <c r="I117" s="98"/>
      <c r="J117" s="98"/>
      <c r="K117" s="98">
        <v>4</v>
      </c>
      <c r="L117" s="98">
        <f>F117*K117</f>
        <v>2248.4</v>
      </c>
      <c r="M117" s="98">
        <f t="shared" ref="M117" si="43">H117+J117+L117</f>
        <v>2248.4</v>
      </c>
    </row>
    <row r="118" spans="1:13" s="10" customFormat="1" ht="18" customHeight="1" x14ac:dyDescent="0.2">
      <c r="A118" s="38"/>
      <c r="B118" s="31" t="s">
        <v>17</v>
      </c>
      <c r="C118" s="6" t="s">
        <v>39</v>
      </c>
      <c r="D118" s="7" t="s">
        <v>34</v>
      </c>
      <c r="E118" s="35">
        <v>1.0149999999999999</v>
      </c>
      <c r="F118" s="32">
        <f>E118*F115</f>
        <v>740.94999999999993</v>
      </c>
      <c r="G118" s="105"/>
      <c r="H118" s="106"/>
      <c r="I118" s="107">
        <f>I95</f>
        <v>144.06779661016949</v>
      </c>
      <c r="J118" s="108">
        <f t="shared" ref="J118" si="44">I118*F118</f>
        <v>106747.03389830508</v>
      </c>
      <c r="K118" s="108"/>
      <c r="L118" s="108"/>
      <c r="M118" s="106">
        <f t="shared" ref="M118" si="45">J118+H118</f>
        <v>106747.03389830508</v>
      </c>
    </row>
    <row r="119" spans="1:13" s="10" customFormat="1" ht="20.25" customHeight="1" x14ac:dyDescent="0.2">
      <c r="A119" s="48"/>
      <c r="B119" s="31" t="s">
        <v>17</v>
      </c>
      <c r="C119" s="6" t="s">
        <v>44</v>
      </c>
      <c r="D119" s="65" t="s">
        <v>15</v>
      </c>
      <c r="E119" s="35"/>
      <c r="F119" s="32">
        <f>(19048.7+19048.7)/1000</f>
        <v>38.0974</v>
      </c>
      <c r="G119" s="105"/>
      <c r="H119" s="106"/>
      <c r="I119" s="107">
        <f>I97</f>
        <v>2657.6271186440681</v>
      </c>
      <c r="J119" s="108">
        <f t="shared" ref="J119:J120" si="46">I119*F119</f>
        <v>101248.68338983052</v>
      </c>
      <c r="K119" s="108"/>
      <c r="L119" s="108"/>
      <c r="M119" s="106">
        <f t="shared" ref="M119:M120" si="47">J119+H119</f>
        <v>101248.68338983052</v>
      </c>
    </row>
    <row r="120" spans="1:13" s="10" customFormat="1" ht="20.25" customHeight="1" x14ac:dyDescent="0.2">
      <c r="A120" s="48"/>
      <c r="B120" s="31" t="s">
        <v>17</v>
      </c>
      <c r="C120" s="6" t="s">
        <v>37</v>
      </c>
      <c r="D120" s="65" t="s">
        <v>15</v>
      </c>
      <c r="E120" s="35"/>
      <c r="F120" s="32">
        <f>(1350.8+3241.8)/1000</f>
        <v>4.5926</v>
      </c>
      <c r="G120" s="105"/>
      <c r="H120" s="106"/>
      <c r="I120" s="107">
        <f>I119</f>
        <v>2657.6271186440681</v>
      </c>
      <c r="J120" s="108">
        <f t="shared" si="46"/>
        <v>12205.418305084748</v>
      </c>
      <c r="K120" s="108"/>
      <c r="L120" s="108"/>
      <c r="M120" s="106">
        <f t="shared" si="47"/>
        <v>12205.418305084748</v>
      </c>
    </row>
    <row r="121" spans="1:13" s="84" customFormat="1" ht="17.25" customHeight="1" x14ac:dyDescent="0.25">
      <c r="A121" s="13"/>
      <c r="B121" s="31" t="s">
        <v>17</v>
      </c>
      <c r="C121" s="57" t="s">
        <v>68</v>
      </c>
      <c r="D121" s="81" t="s">
        <v>69</v>
      </c>
      <c r="E121" s="82"/>
      <c r="F121" s="79">
        <f>(F120+F119)*10</f>
        <v>426.9</v>
      </c>
      <c r="G121" s="111"/>
      <c r="H121" s="112"/>
      <c r="I121" s="112">
        <v>4</v>
      </c>
      <c r="J121" s="112">
        <f>F121*I121</f>
        <v>1707.6</v>
      </c>
      <c r="K121" s="112"/>
      <c r="L121" s="112"/>
      <c r="M121" s="98">
        <f t="shared" ref="M121:M124" si="48">H121+J121+L121</f>
        <v>1707.6</v>
      </c>
    </row>
    <row r="122" spans="1:13" s="84" customFormat="1" ht="17.25" customHeight="1" x14ac:dyDescent="0.25">
      <c r="A122" s="13"/>
      <c r="B122" s="31" t="s">
        <v>17</v>
      </c>
      <c r="C122" s="57" t="s">
        <v>66</v>
      </c>
      <c r="D122" s="81" t="s">
        <v>4</v>
      </c>
      <c r="E122" s="82"/>
      <c r="F122" s="79">
        <f>48.3*4*0.3</f>
        <v>57.959999999999994</v>
      </c>
      <c r="G122" s="111"/>
      <c r="H122" s="112"/>
      <c r="I122" s="112">
        <f>32.81/1.18</f>
        <v>27.805084745762716</v>
      </c>
      <c r="J122" s="112">
        <f>F122*I122</f>
        <v>1611.582711864407</v>
      </c>
      <c r="K122" s="112"/>
      <c r="L122" s="112"/>
      <c r="M122" s="98">
        <f t="shared" si="48"/>
        <v>1611.582711864407</v>
      </c>
    </row>
    <row r="123" spans="1:13" s="84" customFormat="1" ht="17.25" customHeight="1" x14ac:dyDescent="0.25">
      <c r="A123" s="13"/>
      <c r="B123" s="31" t="s">
        <v>17</v>
      </c>
      <c r="C123" s="57" t="s">
        <v>67</v>
      </c>
      <c r="D123" s="81" t="s">
        <v>34</v>
      </c>
      <c r="E123" s="85">
        <f>0.08/100</f>
        <v>8.0000000000000004E-4</v>
      </c>
      <c r="F123" s="79">
        <f>E123*F115</f>
        <v>0.58400000000000007</v>
      </c>
      <c r="G123" s="111"/>
      <c r="H123" s="112"/>
      <c r="I123" s="112">
        <v>700</v>
      </c>
      <c r="J123" s="112">
        <f>F123*I123</f>
        <v>408.80000000000007</v>
      </c>
      <c r="K123" s="112"/>
      <c r="L123" s="112"/>
      <c r="M123" s="98">
        <f t="shared" si="48"/>
        <v>408.80000000000007</v>
      </c>
    </row>
    <row r="124" spans="1:13" s="84" customFormat="1" ht="18" customHeight="1" x14ac:dyDescent="0.25">
      <c r="A124" s="13"/>
      <c r="B124" s="77"/>
      <c r="C124" s="57" t="s">
        <v>64</v>
      </c>
      <c r="D124" s="81" t="s">
        <v>7</v>
      </c>
      <c r="E124" s="82">
        <f>7/100</f>
        <v>7.0000000000000007E-2</v>
      </c>
      <c r="F124" s="79">
        <f>E124*F115</f>
        <v>51.1</v>
      </c>
      <c r="G124" s="111"/>
      <c r="H124" s="112"/>
      <c r="I124" s="112">
        <v>4</v>
      </c>
      <c r="J124" s="112">
        <f>F124*I124</f>
        <v>204.4</v>
      </c>
      <c r="K124" s="112"/>
      <c r="L124" s="112"/>
      <c r="M124" s="98">
        <f t="shared" si="48"/>
        <v>204.4</v>
      </c>
    </row>
    <row r="125" spans="1:13" s="10" customFormat="1" ht="18" customHeight="1" x14ac:dyDescent="0.2">
      <c r="A125" s="48"/>
      <c r="B125" s="31"/>
      <c r="C125" s="6"/>
      <c r="D125" s="74"/>
      <c r="E125" s="32"/>
      <c r="F125" s="32"/>
      <c r="G125" s="105"/>
      <c r="H125" s="106"/>
      <c r="I125" s="109"/>
      <c r="J125" s="108"/>
      <c r="K125" s="108"/>
      <c r="L125" s="108"/>
      <c r="M125" s="106"/>
    </row>
    <row r="126" spans="1:13" s="12" customFormat="1" ht="32.25" customHeight="1" x14ac:dyDescent="0.25">
      <c r="A126" s="42">
        <v>1.1499999999999999</v>
      </c>
      <c r="B126" s="37" t="s">
        <v>74</v>
      </c>
      <c r="C126" s="39" t="s">
        <v>93</v>
      </c>
      <c r="D126" s="40" t="s">
        <v>34</v>
      </c>
      <c r="E126" s="41"/>
      <c r="F126" s="87">
        <f>10.56+14.28+6.21</f>
        <v>31.05</v>
      </c>
      <c r="G126" s="113"/>
      <c r="H126" s="113"/>
      <c r="I126" s="102"/>
      <c r="J126" s="114"/>
      <c r="K126" s="114"/>
      <c r="L126" s="114"/>
      <c r="M126" s="115"/>
    </row>
    <row r="127" spans="1:13" s="10" customFormat="1" ht="21.75" customHeight="1" x14ac:dyDescent="0.2">
      <c r="A127" s="42"/>
      <c r="B127" s="43" t="s">
        <v>25</v>
      </c>
      <c r="C127" s="44" t="s">
        <v>13</v>
      </c>
      <c r="D127" s="45" t="s">
        <v>34</v>
      </c>
      <c r="E127" s="46">
        <v>1</v>
      </c>
      <c r="F127" s="47">
        <f>F126*E127</f>
        <v>31.05</v>
      </c>
      <c r="G127" s="116">
        <f>G93</f>
        <v>112.5</v>
      </c>
      <c r="H127" s="117">
        <f>F127*G127</f>
        <v>3493.125</v>
      </c>
      <c r="I127" s="107"/>
      <c r="J127" s="98"/>
      <c r="K127" s="98"/>
      <c r="L127" s="98"/>
      <c r="M127" s="117">
        <f>H127+J127</f>
        <v>3493.125</v>
      </c>
    </row>
    <row r="128" spans="1:13" s="80" customFormat="1" ht="21.75" customHeight="1" x14ac:dyDescent="0.25">
      <c r="A128" s="76"/>
      <c r="B128" s="77"/>
      <c r="C128" s="44" t="s">
        <v>55</v>
      </c>
      <c r="D128" s="78" t="s">
        <v>7</v>
      </c>
      <c r="E128" s="79">
        <v>3.36</v>
      </c>
      <c r="F128" s="79">
        <f>E128*F126</f>
        <v>104.328</v>
      </c>
      <c r="G128" s="110"/>
      <c r="H128" s="98"/>
      <c r="I128" s="98"/>
      <c r="J128" s="98"/>
      <c r="K128" s="98">
        <v>4</v>
      </c>
      <c r="L128" s="98">
        <f>F128*K128</f>
        <v>417.31200000000001</v>
      </c>
      <c r="M128" s="98">
        <f t="shared" ref="M128" si="49">H128+J128+L128</f>
        <v>417.31200000000001</v>
      </c>
    </row>
    <row r="129" spans="1:13" s="10" customFormat="1" ht="19.5" customHeight="1" x14ac:dyDescent="0.2">
      <c r="A129" s="42"/>
      <c r="B129" s="43" t="s">
        <v>17</v>
      </c>
      <c r="C129" s="44" t="s">
        <v>39</v>
      </c>
      <c r="D129" s="45" t="s">
        <v>34</v>
      </c>
      <c r="E129" s="88">
        <v>1.0149999999999999</v>
      </c>
      <c r="F129" s="46">
        <f>E129*F126</f>
        <v>31.515749999999997</v>
      </c>
      <c r="G129" s="116"/>
      <c r="H129" s="117"/>
      <c r="I129" s="107">
        <f>I118</f>
        <v>144.06779661016949</v>
      </c>
      <c r="J129" s="98">
        <f t="shared" ref="J129:J132" si="50">I129*F129</f>
        <v>4540.4046610169489</v>
      </c>
      <c r="K129" s="98"/>
      <c r="L129" s="98"/>
      <c r="M129" s="117">
        <f>H129+J129</f>
        <v>4540.4046610169489</v>
      </c>
    </row>
    <row r="130" spans="1:13" s="10" customFormat="1" ht="20.25" customHeight="1" x14ac:dyDescent="0.2">
      <c r="A130" s="48"/>
      <c r="B130" s="43" t="s">
        <v>17</v>
      </c>
      <c r="C130" s="6" t="s">
        <v>32</v>
      </c>
      <c r="D130" s="74" t="s">
        <v>15</v>
      </c>
      <c r="E130" s="35"/>
      <c r="F130" s="32">
        <f>(1743.2+1950.2)/1000</f>
        <v>3.6934</v>
      </c>
      <c r="G130" s="105"/>
      <c r="H130" s="106"/>
      <c r="I130" s="107">
        <f>I96</f>
        <v>2603.3898305084749</v>
      </c>
      <c r="J130" s="108">
        <f t="shared" si="50"/>
        <v>9615.36</v>
      </c>
      <c r="K130" s="108"/>
      <c r="L130" s="108"/>
      <c r="M130" s="106">
        <f t="shared" ref="M130:M132" si="51">J130+H130</f>
        <v>9615.36</v>
      </c>
    </row>
    <row r="131" spans="1:13" s="10" customFormat="1" ht="20.25" customHeight="1" x14ac:dyDescent="0.2">
      <c r="A131" s="48"/>
      <c r="B131" s="43" t="s">
        <v>17</v>
      </c>
      <c r="C131" s="6" t="s">
        <v>33</v>
      </c>
      <c r="D131" s="74" t="s">
        <v>15</v>
      </c>
      <c r="E131" s="35"/>
      <c r="F131" s="32">
        <f>656.3/1000</f>
        <v>0.65629999999999999</v>
      </c>
      <c r="G131" s="105"/>
      <c r="H131" s="106"/>
      <c r="I131" s="107">
        <f>I130</f>
        <v>2603.3898305084749</v>
      </c>
      <c r="J131" s="108">
        <f t="shared" si="50"/>
        <v>1708.6047457627121</v>
      </c>
      <c r="K131" s="108"/>
      <c r="L131" s="108"/>
      <c r="M131" s="106">
        <f t="shared" si="51"/>
        <v>1708.6047457627121</v>
      </c>
    </row>
    <row r="132" spans="1:13" s="10" customFormat="1" ht="20.25" customHeight="1" x14ac:dyDescent="0.2">
      <c r="A132" s="48"/>
      <c r="B132" s="43" t="s">
        <v>17</v>
      </c>
      <c r="C132" s="6" t="s">
        <v>37</v>
      </c>
      <c r="D132" s="74" t="s">
        <v>15</v>
      </c>
      <c r="E132" s="35"/>
      <c r="F132" s="32">
        <f>(339+266+458.6+359.9+199.4+156.6)/1000</f>
        <v>1.7795000000000001</v>
      </c>
      <c r="G132" s="105"/>
      <c r="H132" s="106"/>
      <c r="I132" s="107">
        <f>I120</f>
        <v>2657.6271186440681</v>
      </c>
      <c r="J132" s="108">
        <f t="shared" si="50"/>
        <v>4729.2474576271197</v>
      </c>
      <c r="K132" s="108"/>
      <c r="L132" s="108"/>
      <c r="M132" s="106">
        <f t="shared" si="51"/>
        <v>4729.2474576271197</v>
      </c>
    </row>
    <row r="133" spans="1:13" s="84" customFormat="1" ht="17.25" customHeight="1" x14ac:dyDescent="0.25">
      <c r="A133" s="13"/>
      <c r="B133" s="43" t="s">
        <v>17</v>
      </c>
      <c r="C133" s="57" t="s">
        <v>68</v>
      </c>
      <c r="D133" s="81" t="s">
        <v>69</v>
      </c>
      <c r="E133" s="82"/>
      <c r="F133" s="79">
        <f>(F130+F131+F132)*10</f>
        <v>61.292000000000009</v>
      </c>
      <c r="G133" s="111"/>
      <c r="H133" s="112"/>
      <c r="I133" s="112">
        <v>4</v>
      </c>
      <c r="J133" s="112">
        <f>F133*I133</f>
        <v>245.16800000000003</v>
      </c>
      <c r="K133" s="112"/>
      <c r="L133" s="112"/>
      <c r="M133" s="98">
        <f t="shared" ref="M133:M136" si="52">H133+J133+L133</f>
        <v>245.16800000000003</v>
      </c>
    </row>
    <row r="134" spans="1:13" s="84" customFormat="1" ht="17.25" customHeight="1" x14ac:dyDescent="0.25">
      <c r="A134" s="13"/>
      <c r="B134" s="43" t="s">
        <v>17</v>
      </c>
      <c r="C134" s="57" t="s">
        <v>66</v>
      </c>
      <c r="D134" s="81" t="s">
        <v>4</v>
      </c>
      <c r="E134" s="82"/>
      <c r="F134" s="79">
        <f>50*1.2*3.88</f>
        <v>232.79999999999998</v>
      </c>
      <c r="G134" s="111"/>
      <c r="H134" s="112"/>
      <c r="I134" s="112">
        <f>32.81/1.18</f>
        <v>27.805084745762716</v>
      </c>
      <c r="J134" s="112">
        <f>F134*I134</f>
        <v>6473.0237288135595</v>
      </c>
      <c r="K134" s="112"/>
      <c r="L134" s="112"/>
      <c r="M134" s="98">
        <f t="shared" si="52"/>
        <v>6473.0237288135595</v>
      </c>
    </row>
    <row r="135" spans="1:13" s="84" customFormat="1" ht="17.25" customHeight="1" x14ac:dyDescent="0.25">
      <c r="A135" s="13"/>
      <c r="B135" s="43" t="s">
        <v>17</v>
      </c>
      <c r="C135" s="57" t="s">
        <v>67</v>
      </c>
      <c r="D135" s="81" t="s">
        <v>34</v>
      </c>
      <c r="E135" s="85">
        <f>(5.81+0.67)/100</f>
        <v>6.4799999999999996E-2</v>
      </c>
      <c r="F135" s="79">
        <f>E135*F126</f>
        <v>2.0120399999999998</v>
      </c>
      <c r="G135" s="111"/>
      <c r="H135" s="112"/>
      <c r="I135" s="112">
        <v>700</v>
      </c>
      <c r="J135" s="112">
        <f>F135*I135</f>
        <v>1408.4279999999999</v>
      </c>
      <c r="K135" s="112"/>
      <c r="L135" s="112"/>
      <c r="M135" s="98">
        <f t="shared" si="52"/>
        <v>1408.4279999999999</v>
      </c>
    </row>
    <row r="136" spans="1:13" s="84" customFormat="1" ht="18" customHeight="1" x14ac:dyDescent="0.25">
      <c r="A136" s="13"/>
      <c r="B136" s="43"/>
      <c r="C136" s="57" t="s">
        <v>64</v>
      </c>
      <c r="D136" s="81" t="s">
        <v>7</v>
      </c>
      <c r="E136" s="82">
        <v>0.6</v>
      </c>
      <c r="F136" s="79">
        <f>E136*F124</f>
        <v>30.66</v>
      </c>
      <c r="G136" s="111"/>
      <c r="H136" s="112"/>
      <c r="I136" s="112">
        <v>4</v>
      </c>
      <c r="J136" s="112">
        <f>F136*I136</f>
        <v>122.64</v>
      </c>
      <c r="K136" s="112"/>
      <c r="L136" s="112"/>
      <c r="M136" s="98">
        <f t="shared" si="52"/>
        <v>122.64</v>
      </c>
    </row>
    <row r="137" spans="1:13" s="84" customFormat="1" ht="18" customHeight="1" x14ac:dyDescent="0.25">
      <c r="A137" s="13"/>
      <c r="B137" s="77"/>
      <c r="C137" s="57"/>
      <c r="D137" s="81"/>
      <c r="E137" s="82"/>
      <c r="F137" s="79"/>
      <c r="G137" s="111"/>
      <c r="H137" s="112"/>
      <c r="I137" s="112"/>
      <c r="J137" s="112"/>
      <c r="K137" s="112"/>
      <c r="L137" s="112"/>
      <c r="M137" s="98"/>
    </row>
    <row r="138" spans="1:13" s="12" customFormat="1" ht="33" customHeight="1" x14ac:dyDescent="0.25">
      <c r="A138" s="42">
        <v>1.1599999999999999</v>
      </c>
      <c r="B138" s="37" t="s">
        <v>74</v>
      </c>
      <c r="C138" s="89" t="s">
        <v>87</v>
      </c>
      <c r="D138" s="40" t="s">
        <v>15</v>
      </c>
      <c r="E138" s="41"/>
      <c r="F138" s="87">
        <f>F141+0.58+0.024+0.05</f>
        <v>1.0546599999999999</v>
      </c>
      <c r="G138" s="113"/>
      <c r="H138" s="113"/>
      <c r="I138" s="102"/>
      <c r="J138" s="114"/>
      <c r="K138" s="114"/>
      <c r="L138" s="114"/>
      <c r="M138" s="115"/>
    </row>
    <row r="139" spans="1:13" s="10" customFormat="1" ht="18.75" customHeight="1" x14ac:dyDescent="0.2">
      <c r="A139" s="42"/>
      <c r="B139" s="43" t="s">
        <v>25</v>
      </c>
      <c r="C139" s="44" t="s">
        <v>13</v>
      </c>
      <c r="D139" s="45" t="s">
        <v>52</v>
      </c>
      <c r="E139" s="46">
        <v>210</v>
      </c>
      <c r="F139" s="47">
        <f>F138*E139</f>
        <v>221.47859999999997</v>
      </c>
      <c r="G139" s="116">
        <v>7.8</v>
      </c>
      <c r="H139" s="117">
        <f>F139*G139</f>
        <v>1727.5330799999997</v>
      </c>
      <c r="I139" s="107"/>
      <c r="J139" s="98"/>
      <c r="K139" s="98"/>
      <c r="L139" s="98"/>
      <c r="M139" s="117">
        <f>H139+J139</f>
        <v>1727.5330799999997</v>
      </c>
    </row>
    <row r="140" spans="1:13" s="80" customFormat="1" ht="18.75" customHeight="1" x14ac:dyDescent="0.25">
      <c r="A140" s="76"/>
      <c r="B140" s="77"/>
      <c r="C140" s="44" t="s">
        <v>55</v>
      </c>
      <c r="D140" s="78" t="s">
        <v>7</v>
      </c>
      <c r="E140" s="79">
        <v>1.4</v>
      </c>
      <c r="F140" s="79">
        <f>E140*F138</f>
        <v>1.4765239999999997</v>
      </c>
      <c r="G140" s="110"/>
      <c r="H140" s="98"/>
      <c r="I140" s="98"/>
      <c r="J140" s="98"/>
      <c r="K140" s="98">
        <v>4</v>
      </c>
      <c r="L140" s="98">
        <f>F140*K140</f>
        <v>5.9060959999999989</v>
      </c>
      <c r="M140" s="98">
        <f t="shared" ref="M140:M145" si="53">H140+J140+L140</f>
        <v>5.9060959999999989</v>
      </c>
    </row>
    <row r="141" spans="1:13" s="10" customFormat="1" ht="18.75" customHeight="1" x14ac:dyDescent="0.2">
      <c r="A141" s="42"/>
      <c r="B141" s="43" t="s">
        <v>17</v>
      </c>
      <c r="C141" s="44" t="s">
        <v>77</v>
      </c>
      <c r="D141" s="45" t="s">
        <v>15</v>
      </c>
      <c r="E141" s="46"/>
      <c r="F141" s="46">
        <f>(17.42*23)/1000</f>
        <v>0.40066000000000002</v>
      </c>
      <c r="G141" s="118"/>
      <c r="H141" s="119"/>
      <c r="I141" s="107">
        <f>I131</f>
        <v>2603.3898305084749</v>
      </c>
      <c r="J141" s="98">
        <f>F141*I141</f>
        <v>1043.0741694915257</v>
      </c>
      <c r="K141" s="98"/>
      <c r="L141" s="98"/>
      <c r="M141" s="98">
        <f t="shared" si="53"/>
        <v>1043.0741694915257</v>
      </c>
    </row>
    <row r="142" spans="1:13" s="10" customFormat="1" ht="26.25" customHeight="1" x14ac:dyDescent="0.2">
      <c r="A142" s="42"/>
      <c r="B142" s="43" t="s">
        <v>17</v>
      </c>
      <c r="C142" s="44" t="s">
        <v>89</v>
      </c>
      <c r="D142" s="45" t="s">
        <v>4</v>
      </c>
      <c r="E142" s="46"/>
      <c r="F142" s="46">
        <f>23*0.4*0.4</f>
        <v>3.6800000000000006</v>
      </c>
      <c r="G142" s="118"/>
      <c r="H142" s="119"/>
      <c r="I142" s="107">
        <v>612.375</v>
      </c>
      <c r="J142" s="98">
        <f>F142*I142</f>
        <v>2253.5400000000004</v>
      </c>
      <c r="K142" s="98"/>
      <c r="L142" s="98"/>
      <c r="M142" s="98">
        <f t="shared" si="53"/>
        <v>2253.5400000000004</v>
      </c>
    </row>
    <row r="143" spans="1:13" s="10" customFormat="1" ht="18.75" customHeight="1" x14ac:dyDescent="0.2">
      <c r="A143" s="42"/>
      <c r="B143" s="43" t="s">
        <v>17</v>
      </c>
      <c r="C143" s="44" t="s">
        <v>90</v>
      </c>
      <c r="D143" s="45" t="s">
        <v>5</v>
      </c>
      <c r="E143" s="46"/>
      <c r="F143" s="46">
        <v>184</v>
      </c>
      <c r="G143" s="118"/>
      <c r="H143" s="119"/>
      <c r="I143" s="107">
        <v>1</v>
      </c>
      <c r="J143" s="98">
        <f>F143*I143</f>
        <v>184</v>
      </c>
      <c r="K143" s="98"/>
      <c r="L143" s="98"/>
      <c r="M143" s="98">
        <f t="shared" si="53"/>
        <v>184</v>
      </c>
    </row>
    <row r="144" spans="1:13" s="10" customFormat="1" ht="18.75" customHeight="1" x14ac:dyDescent="0.2">
      <c r="A144" s="42"/>
      <c r="B144" s="43" t="s">
        <v>17</v>
      </c>
      <c r="C144" s="44" t="s">
        <v>79</v>
      </c>
      <c r="D144" s="45" t="s">
        <v>5</v>
      </c>
      <c r="E144" s="46"/>
      <c r="F144" s="46">
        <f>8*23</f>
        <v>184</v>
      </c>
      <c r="G144" s="118"/>
      <c r="H144" s="119"/>
      <c r="I144" s="107">
        <v>2</v>
      </c>
      <c r="J144" s="98">
        <f>F144*I144</f>
        <v>368</v>
      </c>
      <c r="K144" s="98"/>
      <c r="L144" s="98"/>
      <c r="M144" s="98">
        <f t="shared" si="53"/>
        <v>368</v>
      </c>
    </row>
    <row r="145" spans="1:13" s="84" customFormat="1" ht="18.75" customHeight="1" x14ac:dyDescent="0.25">
      <c r="A145" s="13"/>
      <c r="B145" s="77"/>
      <c r="C145" s="57" t="s">
        <v>64</v>
      </c>
      <c r="D145" s="81" t="s">
        <v>7</v>
      </c>
      <c r="E145" s="82">
        <v>2</v>
      </c>
      <c r="F145" s="79">
        <f>E145*F135</f>
        <v>4.0240799999999997</v>
      </c>
      <c r="G145" s="111"/>
      <c r="H145" s="112"/>
      <c r="I145" s="112">
        <v>4</v>
      </c>
      <c r="J145" s="112">
        <f>F145*I145</f>
        <v>16.096319999999999</v>
      </c>
      <c r="K145" s="112"/>
      <c r="L145" s="112"/>
      <c r="M145" s="98">
        <f t="shared" si="53"/>
        <v>16.096319999999999</v>
      </c>
    </row>
    <row r="146" spans="1:13" s="10" customFormat="1" ht="19.5" customHeight="1" x14ac:dyDescent="0.2">
      <c r="A146" s="42"/>
      <c r="B146" s="43"/>
      <c r="C146" s="44"/>
      <c r="D146" s="45"/>
      <c r="E146" s="46"/>
      <c r="F146" s="46"/>
      <c r="G146" s="116"/>
      <c r="H146" s="117"/>
      <c r="I146" s="109"/>
      <c r="J146" s="98"/>
      <c r="K146" s="98"/>
      <c r="L146" s="98"/>
      <c r="M146" s="117"/>
    </row>
    <row r="147" spans="1:13" s="12" customFormat="1" ht="40.5" customHeight="1" x14ac:dyDescent="0.25">
      <c r="A147" s="48">
        <v>1.17</v>
      </c>
      <c r="B147" s="37" t="s">
        <v>80</v>
      </c>
      <c r="C147" s="28" t="s">
        <v>91</v>
      </c>
      <c r="D147" s="29" t="s">
        <v>34</v>
      </c>
      <c r="E147" s="30"/>
      <c r="F147" s="34">
        <f>234+25.8+20.4+2+3.3+1</f>
        <v>286.5</v>
      </c>
      <c r="G147" s="101"/>
      <c r="H147" s="101"/>
      <c r="I147" s="102"/>
      <c r="J147" s="103"/>
      <c r="K147" s="103"/>
      <c r="L147" s="103"/>
      <c r="M147" s="104"/>
    </row>
    <row r="148" spans="1:13" s="10" customFormat="1" ht="21" customHeight="1" x14ac:dyDescent="0.2">
      <c r="A148" s="48"/>
      <c r="B148" s="31" t="s">
        <v>25</v>
      </c>
      <c r="C148" s="6" t="s">
        <v>13</v>
      </c>
      <c r="D148" s="74" t="s">
        <v>34</v>
      </c>
      <c r="E148" s="32">
        <v>1</v>
      </c>
      <c r="F148" s="8">
        <f>E148*F147</f>
        <v>286.5</v>
      </c>
      <c r="G148" s="105">
        <f>G93</f>
        <v>112.5</v>
      </c>
      <c r="H148" s="106">
        <f>F148*G148</f>
        <v>32231.25</v>
      </c>
      <c r="I148" s="107"/>
      <c r="J148" s="108"/>
      <c r="K148" s="108"/>
      <c r="L148" s="108"/>
      <c r="M148" s="106">
        <f>J148+H148</f>
        <v>32231.25</v>
      </c>
    </row>
    <row r="149" spans="1:13" s="80" customFormat="1" ht="18.75" customHeight="1" x14ac:dyDescent="0.25">
      <c r="A149" s="76"/>
      <c r="B149" s="77"/>
      <c r="C149" s="44" t="s">
        <v>55</v>
      </c>
      <c r="D149" s="78" t="s">
        <v>7</v>
      </c>
      <c r="E149" s="79">
        <v>1.1399999999999999</v>
      </c>
      <c r="F149" s="79">
        <f>E149*F147</f>
        <v>326.60999999999996</v>
      </c>
      <c r="G149" s="110"/>
      <c r="H149" s="98"/>
      <c r="I149" s="98"/>
      <c r="J149" s="98"/>
      <c r="K149" s="98">
        <v>4</v>
      </c>
      <c r="L149" s="98">
        <f>F149*K149</f>
        <v>1306.4399999999998</v>
      </c>
      <c r="M149" s="98">
        <f t="shared" ref="M149" si="54">H149+J149+L149</f>
        <v>1306.4399999999998</v>
      </c>
    </row>
    <row r="150" spans="1:13" s="10" customFormat="1" ht="19.5" customHeight="1" x14ac:dyDescent="0.2">
      <c r="A150" s="42"/>
      <c r="B150" s="43" t="s">
        <v>17</v>
      </c>
      <c r="C150" s="44" t="s">
        <v>39</v>
      </c>
      <c r="D150" s="45" t="s">
        <v>34</v>
      </c>
      <c r="E150" s="88">
        <v>1.0149999999999999</v>
      </c>
      <c r="F150" s="46">
        <f>E150*F147</f>
        <v>290.79749999999996</v>
      </c>
      <c r="G150" s="116"/>
      <c r="H150" s="117"/>
      <c r="I150" s="107">
        <f>I129</f>
        <v>144.06779661016949</v>
      </c>
      <c r="J150" s="98">
        <f>I150*F150</f>
        <v>41894.555084745756</v>
      </c>
      <c r="K150" s="98"/>
      <c r="L150" s="98"/>
      <c r="M150" s="117">
        <f>H150+J150</f>
        <v>41894.555084745756</v>
      </c>
    </row>
    <row r="151" spans="1:13" s="10" customFormat="1" ht="20.25" customHeight="1" x14ac:dyDescent="0.2">
      <c r="A151" s="48"/>
      <c r="B151" s="31"/>
      <c r="C151" s="6" t="s">
        <v>33</v>
      </c>
      <c r="D151" s="74" t="s">
        <v>15</v>
      </c>
      <c r="E151" s="35"/>
      <c r="F151" s="32">
        <f>(694.1+252.4+429.1+28.4+504.8+5)/1000</f>
        <v>1.9137999999999999</v>
      </c>
      <c r="G151" s="105"/>
      <c r="H151" s="106"/>
      <c r="I151" s="107">
        <f>I141</f>
        <v>2603.3898305084749</v>
      </c>
      <c r="J151" s="108">
        <f t="shared" ref="J151:J154" si="55">I151*F151</f>
        <v>4982.3674576271187</v>
      </c>
      <c r="K151" s="108"/>
      <c r="L151" s="108"/>
      <c r="M151" s="106">
        <f t="shared" ref="M151:M154" si="56">J151+H151</f>
        <v>4982.3674576271187</v>
      </c>
    </row>
    <row r="152" spans="1:13" s="10" customFormat="1" ht="20.25" customHeight="1" x14ac:dyDescent="0.2">
      <c r="A152" s="48"/>
      <c r="B152" s="31"/>
      <c r="C152" s="6" t="s">
        <v>30</v>
      </c>
      <c r="D152" s="74" t="s">
        <v>15</v>
      </c>
      <c r="E152" s="35"/>
      <c r="F152" s="32">
        <f>(2060.5+324.3)/1000</f>
        <v>2.3848000000000003</v>
      </c>
      <c r="G152" s="105"/>
      <c r="H152" s="106"/>
      <c r="I152" s="107">
        <f>I151</f>
        <v>2603.3898305084749</v>
      </c>
      <c r="J152" s="108">
        <f t="shared" si="55"/>
        <v>6208.5640677966112</v>
      </c>
      <c r="K152" s="108"/>
      <c r="L152" s="108"/>
      <c r="M152" s="106">
        <f t="shared" si="56"/>
        <v>6208.5640677966112</v>
      </c>
    </row>
    <row r="153" spans="1:13" s="10" customFormat="1" ht="20.25" customHeight="1" x14ac:dyDescent="0.2">
      <c r="A153" s="48"/>
      <c r="B153" s="31"/>
      <c r="C153" s="6" t="s">
        <v>38</v>
      </c>
      <c r="D153" s="74" t="s">
        <v>15</v>
      </c>
      <c r="E153" s="35"/>
      <c r="F153" s="32">
        <f>(3442.2+1897.2+585.4+450.5+225.2+484+52.1+46.6+79.9+75.4+39.3+34.4)/1000</f>
        <v>7.4121999999999986</v>
      </c>
      <c r="G153" s="105"/>
      <c r="H153" s="106"/>
      <c r="I153" s="107">
        <f>I152</f>
        <v>2603.3898305084749</v>
      </c>
      <c r="J153" s="108">
        <f t="shared" si="55"/>
        <v>19296.846101694915</v>
      </c>
      <c r="K153" s="108"/>
      <c r="L153" s="108"/>
      <c r="M153" s="106">
        <f t="shared" si="56"/>
        <v>19296.846101694915</v>
      </c>
    </row>
    <row r="154" spans="1:13" s="10" customFormat="1" ht="20.25" customHeight="1" x14ac:dyDescent="0.2">
      <c r="A154" s="48"/>
      <c r="B154" s="31"/>
      <c r="C154" s="6" t="s">
        <v>37</v>
      </c>
      <c r="D154" s="74" t="s">
        <v>15</v>
      </c>
      <c r="E154" s="35"/>
      <c r="F154" s="32">
        <f>(257.3+46.1+35.5+3.5+6.2+2.1)/1000</f>
        <v>0.35070000000000007</v>
      </c>
      <c r="G154" s="105"/>
      <c r="H154" s="106"/>
      <c r="I154" s="107">
        <f>I132</f>
        <v>2657.6271186440681</v>
      </c>
      <c r="J154" s="108">
        <f t="shared" si="55"/>
        <v>932.0298305084749</v>
      </c>
      <c r="K154" s="108"/>
      <c r="L154" s="108"/>
      <c r="M154" s="106">
        <f t="shared" si="56"/>
        <v>932.0298305084749</v>
      </c>
    </row>
    <row r="155" spans="1:13" s="84" customFormat="1" ht="17.25" customHeight="1" x14ac:dyDescent="0.25">
      <c r="A155" s="13"/>
      <c r="B155" s="43" t="s">
        <v>17</v>
      </c>
      <c r="C155" s="57" t="s">
        <v>68</v>
      </c>
      <c r="D155" s="81" t="s">
        <v>69</v>
      </c>
      <c r="E155" s="82"/>
      <c r="F155" s="79">
        <f>(F151+F152+F153+F154)*10</f>
        <v>120.61499999999998</v>
      </c>
      <c r="G155" s="111"/>
      <c r="H155" s="112"/>
      <c r="I155" s="112">
        <v>4</v>
      </c>
      <c r="J155" s="112">
        <f>F155*I155</f>
        <v>482.45999999999992</v>
      </c>
      <c r="K155" s="112"/>
      <c r="L155" s="112"/>
      <c r="M155" s="98">
        <f t="shared" ref="M155:M158" si="57">H155+J155+L155</f>
        <v>482.45999999999992</v>
      </c>
    </row>
    <row r="156" spans="1:13" s="84" customFormat="1" ht="17.25" customHeight="1" x14ac:dyDescent="0.25">
      <c r="A156" s="13"/>
      <c r="B156" s="43" t="s">
        <v>17</v>
      </c>
      <c r="C156" s="57" t="s">
        <v>66</v>
      </c>
      <c r="D156" s="81" t="s">
        <v>4</v>
      </c>
      <c r="E156" s="82"/>
      <c r="F156" s="79">
        <f>F147/0.3*2</f>
        <v>1910</v>
      </c>
      <c r="G156" s="111"/>
      <c r="H156" s="112"/>
      <c r="I156" s="112">
        <f>32.81/1.18</f>
        <v>27.805084745762716</v>
      </c>
      <c r="J156" s="112">
        <f>F156*I156</f>
        <v>53107.711864406789</v>
      </c>
      <c r="K156" s="112"/>
      <c r="L156" s="112"/>
      <c r="M156" s="98">
        <f t="shared" si="57"/>
        <v>53107.711864406789</v>
      </c>
    </row>
    <row r="157" spans="1:13" s="84" customFormat="1" ht="17.25" customHeight="1" x14ac:dyDescent="0.25">
      <c r="A157" s="13"/>
      <c r="B157" s="43" t="s">
        <v>17</v>
      </c>
      <c r="C157" s="57" t="s">
        <v>67</v>
      </c>
      <c r="D157" s="81" t="s">
        <v>34</v>
      </c>
      <c r="E157" s="85">
        <f>(0.33+3.66)/100</f>
        <v>3.9900000000000005E-2</v>
      </c>
      <c r="F157" s="79">
        <f>E157*F147</f>
        <v>11.431350000000002</v>
      </c>
      <c r="G157" s="111"/>
      <c r="H157" s="112"/>
      <c r="I157" s="112">
        <v>700</v>
      </c>
      <c r="J157" s="112">
        <f>F157*I157</f>
        <v>8001.9450000000015</v>
      </c>
      <c r="K157" s="112"/>
      <c r="L157" s="112"/>
      <c r="M157" s="98">
        <f t="shared" si="57"/>
        <v>8001.9450000000015</v>
      </c>
    </row>
    <row r="158" spans="1:13" s="84" customFormat="1" ht="18" customHeight="1" x14ac:dyDescent="0.25">
      <c r="A158" s="13"/>
      <c r="B158" s="77"/>
      <c r="C158" s="57" t="s">
        <v>64</v>
      </c>
      <c r="D158" s="81" t="s">
        <v>7</v>
      </c>
      <c r="E158" s="82">
        <v>0.32</v>
      </c>
      <c r="F158" s="79">
        <f>E158*F147</f>
        <v>91.68</v>
      </c>
      <c r="G158" s="111"/>
      <c r="H158" s="112"/>
      <c r="I158" s="112">
        <v>4</v>
      </c>
      <c r="J158" s="112">
        <f>F158*I158</f>
        <v>366.72</v>
      </c>
      <c r="K158" s="112"/>
      <c r="L158" s="112"/>
      <c r="M158" s="98">
        <f t="shared" si="57"/>
        <v>366.72</v>
      </c>
    </row>
    <row r="159" spans="1:13" s="10" customFormat="1" ht="15.75" customHeight="1" x14ac:dyDescent="0.2">
      <c r="A159" s="48"/>
      <c r="B159" s="31"/>
      <c r="C159" s="6"/>
      <c r="D159" s="74"/>
      <c r="E159" s="32"/>
      <c r="F159" s="8"/>
      <c r="G159" s="105"/>
      <c r="H159" s="106"/>
      <c r="I159" s="109"/>
      <c r="J159" s="108"/>
      <c r="K159" s="108"/>
      <c r="L159" s="108"/>
      <c r="M159" s="106"/>
    </row>
    <row r="160" spans="1:13" s="12" customFormat="1" ht="35.25" customHeight="1" x14ac:dyDescent="0.25">
      <c r="A160" s="48">
        <v>1.18</v>
      </c>
      <c r="B160" s="37" t="s">
        <v>92</v>
      </c>
      <c r="C160" s="28" t="s">
        <v>45</v>
      </c>
      <c r="D160" s="29" t="s">
        <v>34</v>
      </c>
      <c r="E160" s="30"/>
      <c r="F160" s="34">
        <f>2.9+3+2</f>
        <v>7.9</v>
      </c>
      <c r="G160" s="101"/>
      <c r="H160" s="101"/>
      <c r="I160" s="102"/>
      <c r="J160" s="103"/>
      <c r="K160" s="103"/>
      <c r="L160" s="103"/>
      <c r="M160" s="104"/>
    </row>
    <row r="161" spans="1:13" s="10" customFormat="1" ht="21" customHeight="1" x14ac:dyDescent="0.2">
      <c r="A161" s="48"/>
      <c r="B161" s="31" t="s">
        <v>25</v>
      </c>
      <c r="C161" s="6" t="s">
        <v>13</v>
      </c>
      <c r="D161" s="74" t="s">
        <v>34</v>
      </c>
      <c r="E161" s="32">
        <v>1</v>
      </c>
      <c r="F161" s="8">
        <f>E161*F160</f>
        <v>7.9</v>
      </c>
      <c r="G161" s="105">
        <f>150/0.8</f>
        <v>187.5</v>
      </c>
      <c r="H161" s="106">
        <f>F161*G161</f>
        <v>1481.25</v>
      </c>
      <c r="I161" s="107"/>
      <c r="J161" s="108"/>
      <c r="K161" s="108"/>
      <c r="L161" s="108"/>
      <c r="M161" s="106">
        <f>J161+H161</f>
        <v>1481.25</v>
      </c>
    </row>
    <row r="162" spans="1:13" s="80" customFormat="1" ht="18.75" customHeight="1" x14ac:dyDescent="0.25">
      <c r="A162" s="76"/>
      <c r="B162" s="77"/>
      <c r="C162" s="44" t="s">
        <v>55</v>
      </c>
      <c r="D162" s="78" t="s">
        <v>7</v>
      </c>
      <c r="E162" s="79">
        <v>1.28</v>
      </c>
      <c r="F162" s="79">
        <f>E162*F160</f>
        <v>10.112</v>
      </c>
      <c r="G162" s="110"/>
      <c r="H162" s="98"/>
      <c r="I162" s="98"/>
      <c r="J162" s="98"/>
      <c r="K162" s="98">
        <v>4</v>
      </c>
      <c r="L162" s="98">
        <f>F162*K162</f>
        <v>40.448</v>
      </c>
      <c r="M162" s="98">
        <f t="shared" ref="M162" si="58">H162+J162+L162</f>
        <v>40.448</v>
      </c>
    </row>
    <row r="163" spans="1:13" s="10" customFormat="1" ht="19.5" customHeight="1" x14ac:dyDescent="0.2">
      <c r="A163" s="42"/>
      <c r="B163" s="43" t="s">
        <v>17</v>
      </c>
      <c r="C163" s="44" t="s">
        <v>39</v>
      </c>
      <c r="D163" s="45" t="s">
        <v>34</v>
      </c>
      <c r="E163" s="88">
        <v>1.0149999999999999</v>
      </c>
      <c r="F163" s="46">
        <f>E163*F160</f>
        <v>8.0184999999999995</v>
      </c>
      <c r="G163" s="116"/>
      <c r="H163" s="117"/>
      <c r="I163" s="120">
        <f>I150</f>
        <v>144.06779661016949</v>
      </c>
      <c r="J163" s="98">
        <f>I163*F163</f>
        <v>1155.207627118644</v>
      </c>
      <c r="K163" s="98"/>
      <c r="L163" s="98"/>
      <c r="M163" s="117">
        <f>H163+J163</f>
        <v>1155.207627118644</v>
      </c>
    </row>
    <row r="164" spans="1:13" s="10" customFormat="1" ht="20.25" customHeight="1" x14ac:dyDescent="0.2">
      <c r="A164" s="48"/>
      <c r="B164" s="31"/>
      <c r="C164" s="6" t="s">
        <v>30</v>
      </c>
      <c r="D164" s="74" t="s">
        <v>15</v>
      </c>
      <c r="E164" s="35"/>
      <c r="F164" s="32">
        <f>(133.1+9.6+138.4+9.6+92.1+15.3)/1000</f>
        <v>0.39810000000000006</v>
      </c>
      <c r="G164" s="105"/>
      <c r="H164" s="106"/>
      <c r="I164" s="120">
        <f>I151</f>
        <v>2603.3898305084749</v>
      </c>
      <c r="J164" s="108">
        <f t="shared" ref="J164:J166" si="59">I164*F164</f>
        <v>1036.4094915254241</v>
      </c>
      <c r="K164" s="108"/>
      <c r="L164" s="108"/>
      <c r="M164" s="106">
        <f t="shared" ref="M164:M166" si="60">J164+H164</f>
        <v>1036.4094915254241</v>
      </c>
    </row>
    <row r="165" spans="1:13" s="10" customFormat="1" ht="20.25" customHeight="1" x14ac:dyDescent="0.2">
      <c r="A165" s="48"/>
      <c r="B165" s="31"/>
      <c r="C165" s="6" t="s">
        <v>38</v>
      </c>
      <c r="D165" s="74" t="s">
        <v>15</v>
      </c>
      <c r="E165" s="35"/>
      <c r="F165" s="32">
        <f>(23.3+20.3+23.3+23.2+42.4)/1000</f>
        <v>0.13250000000000001</v>
      </c>
      <c r="G165" s="105"/>
      <c r="H165" s="106"/>
      <c r="I165" s="120">
        <f>I153</f>
        <v>2603.3898305084749</v>
      </c>
      <c r="J165" s="108">
        <f t="shared" si="59"/>
        <v>344.94915254237293</v>
      </c>
      <c r="K165" s="108"/>
      <c r="L165" s="108"/>
      <c r="M165" s="106">
        <f t="shared" si="60"/>
        <v>344.94915254237293</v>
      </c>
    </row>
    <row r="166" spans="1:13" s="10" customFormat="1" ht="20.25" customHeight="1" x14ac:dyDescent="0.2">
      <c r="A166" s="48"/>
      <c r="B166" s="31"/>
      <c r="C166" s="6" t="s">
        <v>37</v>
      </c>
      <c r="D166" s="74" t="s">
        <v>15</v>
      </c>
      <c r="E166" s="35"/>
      <c r="F166" s="32">
        <f>(9.5+30.3+4.7+9.5+30.3+4.7+13.5+4.2+15.1+5.3)/1000</f>
        <v>0.12709999999999999</v>
      </c>
      <c r="G166" s="105"/>
      <c r="H166" s="106"/>
      <c r="I166" s="120">
        <f>I154</f>
        <v>2657.6271186440681</v>
      </c>
      <c r="J166" s="108">
        <f t="shared" si="59"/>
        <v>337.78440677966103</v>
      </c>
      <c r="K166" s="108"/>
      <c r="L166" s="108"/>
      <c r="M166" s="106">
        <f t="shared" si="60"/>
        <v>337.78440677966103</v>
      </c>
    </row>
    <row r="167" spans="1:13" s="84" customFormat="1" ht="17.25" customHeight="1" x14ac:dyDescent="0.25">
      <c r="A167" s="13"/>
      <c r="B167" s="43" t="s">
        <v>17</v>
      </c>
      <c r="C167" s="57" t="s">
        <v>68</v>
      </c>
      <c r="D167" s="81" t="s">
        <v>69</v>
      </c>
      <c r="E167" s="82"/>
      <c r="F167" s="79">
        <f>(F164+F165+F166)*10</f>
        <v>6.5770000000000008</v>
      </c>
      <c r="G167" s="111"/>
      <c r="H167" s="112"/>
      <c r="I167" s="121">
        <v>4</v>
      </c>
      <c r="J167" s="112">
        <f>F167*I167</f>
        <v>26.308000000000003</v>
      </c>
      <c r="K167" s="112"/>
      <c r="L167" s="112"/>
      <c r="M167" s="98">
        <f t="shared" ref="M167:M170" si="61">H167+J167+L167</f>
        <v>26.308000000000003</v>
      </c>
    </row>
    <row r="168" spans="1:13" s="84" customFormat="1" ht="17.25" customHeight="1" x14ac:dyDescent="0.25">
      <c r="A168" s="13"/>
      <c r="B168" s="43" t="s">
        <v>17</v>
      </c>
      <c r="C168" s="57" t="s">
        <v>66</v>
      </c>
      <c r="D168" s="81" t="s">
        <v>4</v>
      </c>
      <c r="E168" s="82"/>
      <c r="F168" s="79">
        <f>F160/0.2</f>
        <v>39.5</v>
      </c>
      <c r="G168" s="111"/>
      <c r="H168" s="112"/>
      <c r="I168" s="121">
        <f>32.81/1.18</f>
        <v>27.805084745762716</v>
      </c>
      <c r="J168" s="112">
        <f>F168*I168</f>
        <v>1098.3008474576272</v>
      </c>
      <c r="K168" s="112"/>
      <c r="L168" s="112"/>
      <c r="M168" s="98">
        <f t="shared" si="61"/>
        <v>1098.3008474576272</v>
      </c>
    </row>
    <row r="169" spans="1:13" s="84" customFormat="1" ht="17.25" customHeight="1" x14ac:dyDescent="0.25">
      <c r="A169" s="13"/>
      <c r="B169" s="43" t="s">
        <v>17</v>
      </c>
      <c r="C169" s="57" t="s">
        <v>67</v>
      </c>
      <c r="D169" s="81" t="s">
        <v>34</v>
      </c>
      <c r="E169" s="85">
        <f>(0.33+3.66)/100</f>
        <v>3.9900000000000005E-2</v>
      </c>
      <c r="F169" s="79">
        <f>E169*F160</f>
        <v>0.31521000000000005</v>
      </c>
      <c r="G169" s="111"/>
      <c r="H169" s="112"/>
      <c r="I169" s="121">
        <v>700</v>
      </c>
      <c r="J169" s="112">
        <f>F169*I169</f>
        <v>220.64700000000002</v>
      </c>
      <c r="K169" s="112"/>
      <c r="L169" s="112"/>
      <c r="M169" s="98">
        <f t="shared" si="61"/>
        <v>220.64700000000002</v>
      </c>
    </row>
    <row r="170" spans="1:13" s="84" customFormat="1" ht="18" customHeight="1" x14ac:dyDescent="0.25">
      <c r="A170" s="13"/>
      <c r="B170" s="77"/>
      <c r="C170" s="57" t="s">
        <v>64</v>
      </c>
      <c r="D170" s="81" t="s">
        <v>7</v>
      </c>
      <c r="E170" s="82">
        <v>2.29</v>
      </c>
      <c r="F170" s="79">
        <f>E170*F160</f>
        <v>18.091000000000001</v>
      </c>
      <c r="G170" s="111"/>
      <c r="H170" s="112"/>
      <c r="I170" s="121">
        <v>4</v>
      </c>
      <c r="J170" s="112">
        <f>F170*I170</f>
        <v>72.364000000000004</v>
      </c>
      <c r="K170" s="112"/>
      <c r="L170" s="112"/>
      <c r="M170" s="98">
        <f t="shared" si="61"/>
        <v>72.364000000000004</v>
      </c>
    </row>
    <row r="171" spans="1:13" s="10" customFormat="1" ht="15.75" customHeight="1" x14ac:dyDescent="0.2">
      <c r="A171" s="48"/>
      <c r="B171" s="31"/>
      <c r="C171" s="6"/>
      <c r="D171" s="74"/>
      <c r="E171" s="32"/>
      <c r="F171" s="8"/>
      <c r="G171" s="105"/>
      <c r="H171" s="106"/>
      <c r="I171" s="109"/>
      <c r="J171" s="108"/>
      <c r="K171" s="108"/>
      <c r="L171" s="108"/>
      <c r="M171" s="106"/>
    </row>
    <row r="172" spans="1:13" s="12" customFormat="1" ht="32.25" customHeight="1" x14ac:dyDescent="0.25">
      <c r="A172" s="42">
        <v>1.19</v>
      </c>
      <c r="B172" s="37" t="s">
        <v>74</v>
      </c>
      <c r="C172" s="39" t="s">
        <v>94</v>
      </c>
      <c r="D172" s="40" t="s">
        <v>34</v>
      </c>
      <c r="E172" s="41"/>
      <c r="F172" s="34">
        <f>11.52+6.4+1.92</f>
        <v>19.840000000000003</v>
      </c>
      <c r="G172" s="113"/>
      <c r="H172" s="113"/>
      <c r="I172" s="102"/>
      <c r="J172" s="114"/>
      <c r="K172" s="114"/>
      <c r="L172" s="114"/>
      <c r="M172" s="115"/>
    </row>
    <row r="173" spans="1:13" s="10" customFormat="1" ht="21.75" customHeight="1" x14ac:dyDescent="0.2">
      <c r="A173" s="42"/>
      <c r="B173" s="43" t="s">
        <v>25</v>
      </c>
      <c r="C173" s="44" t="s">
        <v>13</v>
      </c>
      <c r="D173" s="45" t="s">
        <v>34</v>
      </c>
      <c r="E173" s="46">
        <v>1</v>
      </c>
      <c r="F173" s="47">
        <f>F172*E173</f>
        <v>19.840000000000003</v>
      </c>
      <c r="G173" s="116">
        <f>G148</f>
        <v>112.5</v>
      </c>
      <c r="H173" s="117">
        <f>F173*G173</f>
        <v>2232.0000000000005</v>
      </c>
      <c r="I173" s="107"/>
      <c r="J173" s="98"/>
      <c r="K173" s="98"/>
      <c r="L173" s="98"/>
      <c r="M173" s="117">
        <f>H173+J173</f>
        <v>2232.0000000000005</v>
      </c>
    </row>
    <row r="174" spans="1:13" s="80" customFormat="1" ht="21.75" customHeight="1" x14ac:dyDescent="0.25">
      <c r="A174" s="76"/>
      <c r="B174" s="77"/>
      <c r="C174" s="44" t="s">
        <v>55</v>
      </c>
      <c r="D174" s="78" t="s">
        <v>7</v>
      </c>
      <c r="E174" s="79">
        <v>3.36</v>
      </c>
      <c r="F174" s="79">
        <f>E174*F172</f>
        <v>66.662400000000005</v>
      </c>
      <c r="G174" s="110"/>
      <c r="H174" s="98"/>
      <c r="I174" s="98"/>
      <c r="J174" s="98"/>
      <c r="K174" s="98">
        <v>4</v>
      </c>
      <c r="L174" s="98">
        <f>F174*K174</f>
        <v>266.64960000000002</v>
      </c>
      <c r="M174" s="98">
        <f t="shared" ref="M174" si="62">H174+J174+L174</f>
        <v>266.64960000000002</v>
      </c>
    </row>
    <row r="175" spans="1:13" s="10" customFormat="1" ht="19.5" customHeight="1" x14ac:dyDescent="0.2">
      <c r="A175" s="42"/>
      <c r="B175" s="43" t="s">
        <v>17</v>
      </c>
      <c r="C175" s="44" t="s">
        <v>39</v>
      </c>
      <c r="D175" s="45" t="s">
        <v>34</v>
      </c>
      <c r="E175" s="88">
        <v>1.0149999999999999</v>
      </c>
      <c r="F175" s="46">
        <f>E175*F172</f>
        <v>20.137600000000003</v>
      </c>
      <c r="G175" s="116"/>
      <c r="H175" s="117"/>
      <c r="I175" s="120">
        <f>I163</f>
        <v>144.06779661016949</v>
      </c>
      <c r="J175" s="98">
        <f t="shared" ref="J175:J178" si="63">I175*F175</f>
        <v>2901.1796610169495</v>
      </c>
      <c r="K175" s="98"/>
      <c r="L175" s="98"/>
      <c r="M175" s="117">
        <f>H175+J175</f>
        <v>2901.1796610169495</v>
      </c>
    </row>
    <row r="176" spans="1:13" s="10" customFormat="1" ht="20.25" customHeight="1" x14ac:dyDescent="0.2">
      <c r="A176" s="48"/>
      <c r="B176" s="43" t="s">
        <v>17</v>
      </c>
      <c r="C176" s="6" t="s">
        <v>32</v>
      </c>
      <c r="D176" s="74" t="s">
        <v>15</v>
      </c>
      <c r="E176" s="35"/>
      <c r="F176" s="32">
        <f>(1597.3+266.2+354.9)/1000</f>
        <v>2.2183999999999999</v>
      </c>
      <c r="G176" s="105"/>
      <c r="H176" s="106"/>
      <c r="I176" s="120">
        <f>I164</f>
        <v>2603.3898305084749</v>
      </c>
      <c r="J176" s="108">
        <f t="shared" si="63"/>
        <v>5775.3600000000006</v>
      </c>
      <c r="K176" s="108"/>
      <c r="L176" s="108"/>
      <c r="M176" s="106">
        <f t="shared" ref="M176:M178" si="64">J176+H176</f>
        <v>5775.3600000000006</v>
      </c>
    </row>
    <row r="177" spans="1:13" s="10" customFormat="1" ht="20.25" customHeight="1" x14ac:dyDescent="0.2">
      <c r="A177" s="48"/>
      <c r="B177" s="43" t="s">
        <v>17</v>
      </c>
      <c r="C177" s="6" t="s">
        <v>33</v>
      </c>
      <c r="D177" s="74" t="s">
        <v>15</v>
      </c>
      <c r="E177" s="35"/>
      <c r="F177" s="32">
        <f>567.9/1000</f>
        <v>0.56789999999999996</v>
      </c>
      <c r="G177" s="105"/>
      <c r="H177" s="106"/>
      <c r="I177" s="120">
        <f>I176</f>
        <v>2603.3898305084749</v>
      </c>
      <c r="J177" s="108">
        <f t="shared" si="63"/>
        <v>1478.4650847457629</v>
      </c>
      <c r="K177" s="108"/>
      <c r="L177" s="108"/>
      <c r="M177" s="106">
        <f t="shared" si="64"/>
        <v>1478.4650847457629</v>
      </c>
    </row>
    <row r="178" spans="1:13" s="10" customFormat="1" ht="20.25" customHeight="1" x14ac:dyDescent="0.2">
      <c r="A178" s="48"/>
      <c r="B178" s="43" t="s">
        <v>17</v>
      </c>
      <c r="C178" s="6" t="s">
        <v>37</v>
      </c>
      <c r="D178" s="74" t="s">
        <v>15</v>
      </c>
      <c r="E178" s="35"/>
      <c r="F178" s="32">
        <f>(370.1+290.5+205.6+161.4+205.6+161.4)/1000</f>
        <v>1.3946000000000001</v>
      </c>
      <c r="G178" s="105"/>
      <c r="H178" s="106"/>
      <c r="I178" s="120">
        <f>I166</f>
        <v>2657.6271186440681</v>
      </c>
      <c r="J178" s="108">
        <f t="shared" si="63"/>
        <v>3706.3267796610176</v>
      </c>
      <c r="K178" s="108"/>
      <c r="L178" s="108"/>
      <c r="M178" s="106">
        <f t="shared" si="64"/>
        <v>3706.3267796610176</v>
      </c>
    </row>
    <row r="179" spans="1:13" s="84" customFormat="1" ht="17.25" customHeight="1" x14ac:dyDescent="0.25">
      <c r="A179" s="13"/>
      <c r="B179" s="43" t="s">
        <v>17</v>
      </c>
      <c r="C179" s="57" t="s">
        <v>68</v>
      </c>
      <c r="D179" s="81" t="s">
        <v>69</v>
      </c>
      <c r="E179" s="82"/>
      <c r="F179" s="79">
        <f>(F176+F177+F178)*10</f>
        <v>41.808999999999997</v>
      </c>
      <c r="G179" s="111"/>
      <c r="H179" s="112"/>
      <c r="I179" s="112">
        <v>4</v>
      </c>
      <c r="J179" s="112">
        <f>F179*I179</f>
        <v>167.23599999999999</v>
      </c>
      <c r="K179" s="112"/>
      <c r="L179" s="112"/>
      <c r="M179" s="98">
        <f t="shared" ref="M179:M182" si="65">H179+J179+L179</f>
        <v>167.23599999999999</v>
      </c>
    </row>
    <row r="180" spans="1:13" s="84" customFormat="1" ht="17.25" customHeight="1" x14ac:dyDescent="0.25">
      <c r="A180" s="13"/>
      <c r="B180" s="43" t="s">
        <v>17</v>
      </c>
      <c r="C180" s="57" t="s">
        <v>66</v>
      </c>
      <c r="D180" s="81" t="s">
        <v>4</v>
      </c>
      <c r="E180" s="82"/>
      <c r="F180" s="79">
        <f>31*1.2*4</f>
        <v>148.79999999999998</v>
      </c>
      <c r="G180" s="111"/>
      <c r="H180" s="112"/>
      <c r="I180" s="112">
        <f>32.81/1.18</f>
        <v>27.805084745762716</v>
      </c>
      <c r="J180" s="112">
        <f>F180*I180</f>
        <v>4137.3966101694914</v>
      </c>
      <c r="K180" s="112"/>
      <c r="L180" s="112"/>
      <c r="M180" s="98">
        <f t="shared" si="65"/>
        <v>4137.3966101694914</v>
      </c>
    </row>
    <row r="181" spans="1:13" s="84" customFormat="1" ht="17.25" customHeight="1" x14ac:dyDescent="0.25">
      <c r="A181" s="13"/>
      <c r="B181" s="43" t="s">
        <v>17</v>
      </c>
      <c r="C181" s="57" t="s">
        <v>67</v>
      </c>
      <c r="D181" s="81" t="s">
        <v>34</v>
      </c>
      <c r="E181" s="85">
        <f>(5.81+0.67)/100</f>
        <v>6.4799999999999996E-2</v>
      </c>
      <c r="F181" s="79">
        <f>E181*F172</f>
        <v>1.2856320000000001</v>
      </c>
      <c r="G181" s="111"/>
      <c r="H181" s="112"/>
      <c r="I181" s="112">
        <v>700</v>
      </c>
      <c r="J181" s="112">
        <f>F181*I181</f>
        <v>899.94240000000002</v>
      </c>
      <c r="K181" s="112"/>
      <c r="L181" s="112"/>
      <c r="M181" s="98">
        <f t="shared" si="65"/>
        <v>899.94240000000002</v>
      </c>
    </row>
    <row r="182" spans="1:13" s="84" customFormat="1" ht="18" customHeight="1" x14ac:dyDescent="0.25">
      <c r="A182" s="13"/>
      <c r="B182" s="43"/>
      <c r="C182" s="57" t="s">
        <v>64</v>
      </c>
      <c r="D182" s="81" t="s">
        <v>7</v>
      </c>
      <c r="E182" s="82">
        <v>0.6</v>
      </c>
      <c r="F182" s="79">
        <f>E182*F170</f>
        <v>10.8546</v>
      </c>
      <c r="G182" s="111"/>
      <c r="H182" s="112"/>
      <c r="I182" s="112">
        <v>4</v>
      </c>
      <c r="J182" s="112">
        <f>F182*I182</f>
        <v>43.418399999999998</v>
      </c>
      <c r="K182" s="112"/>
      <c r="L182" s="112"/>
      <c r="M182" s="98">
        <f t="shared" si="65"/>
        <v>43.418399999999998</v>
      </c>
    </row>
    <row r="183" spans="1:13" s="84" customFormat="1" ht="18" customHeight="1" x14ac:dyDescent="0.25">
      <c r="A183" s="13"/>
      <c r="B183" s="77"/>
      <c r="C183" s="57"/>
      <c r="D183" s="81"/>
      <c r="E183" s="82"/>
      <c r="F183" s="79"/>
      <c r="G183" s="111"/>
      <c r="H183" s="112"/>
      <c r="I183" s="112"/>
      <c r="J183" s="112"/>
      <c r="K183" s="112"/>
      <c r="L183" s="112"/>
      <c r="M183" s="98"/>
    </row>
    <row r="184" spans="1:13" s="12" customFormat="1" ht="40.5" customHeight="1" x14ac:dyDescent="0.25">
      <c r="A184" s="79">
        <v>1.2</v>
      </c>
      <c r="B184" s="37" t="s">
        <v>92</v>
      </c>
      <c r="C184" s="28" t="s">
        <v>95</v>
      </c>
      <c r="D184" s="40" t="s">
        <v>34</v>
      </c>
      <c r="E184" s="41"/>
      <c r="F184" s="34">
        <f>136.4+21.4</f>
        <v>157.80000000000001</v>
      </c>
      <c r="G184" s="113"/>
      <c r="H184" s="113"/>
      <c r="I184" s="102"/>
      <c r="J184" s="114"/>
      <c r="K184" s="114"/>
      <c r="L184" s="114"/>
      <c r="M184" s="115"/>
    </row>
    <row r="185" spans="1:13" s="10" customFormat="1" ht="21.75" customHeight="1" x14ac:dyDescent="0.2">
      <c r="A185" s="42"/>
      <c r="B185" s="43" t="s">
        <v>25</v>
      </c>
      <c r="C185" s="44" t="s">
        <v>13</v>
      </c>
      <c r="D185" s="45" t="s">
        <v>34</v>
      </c>
      <c r="E185" s="46">
        <v>1</v>
      </c>
      <c r="F185" s="47">
        <f>F184*E185</f>
        <v>157.80000000000001</v>
      </c>
      <c r="G185" s="116">
        <f>G173</f>
        <v>112.5</v>
      </c>
      <c r="H185" s="117">
        <f>F185*G185</f>
        <v>17752.5</v>
      </c>
      <c r="I185" s="107"/>
      <c r="J185" s="98"/>
      <c r="K185" s="98"/>
      <c r="L185" s="98"/>
      <c r="M185" s="117">
        <f>H185+J185</f>
        <v>17752.5</v>
      </c>
    </row>
    <row r="186" spans="1:13" s="80" customFormat="1" ht="21.75" customHeight="1" x14ac:dyDescent="0.25">
      <c r="A186" s="76"/>
      <c r="B186" s="77"/>
      <c r="C186" s="44" t="s">
        <v>55</v>
      </c>
      <c r="D186" s="78" t="s">
        <v>7</v>
      </c>
      <c r="E186" s="79">
        <v>1.28</v>
      </c>
      <c r="F186" s="79">
        <f>E186*F184</f>
        <v>201.98400000000001</v>
      </c>
      <c r="G186" s="110"/>
      <c r="H186" s="98"/>
      <c r="I186" s="98"/>
      <c r="J186" s="98"/>
      <c r="K186" s="98">
        <v>4</v>
      </c>
      <c r="L186" s="98">
        <f>F186*K186</f>
        <v>807.93600000000004</v>
      </c>
      <c r="M186" s="98">
        <f t="shared" ref="M186" si="66">H186+J186+L186</f>
        <v>807.93600000000004</v>
      </c>
    </row>
    <row r="187" spans="1:13" s="10" customFormat="1" ht="19.5" customHeight="1" x14ac:dyDescent="0.2">
      <c r="A187" s="42"/>
      <c r="B187" s="43" t="s">
        <v>17</v>
      </c>
      <c r="C187" s="44" t="s">
        <v>39</v>
      </c>
      <c r="D187" s="45" t="s">
        <v>34</v>
      </c>
      <c r="E187" s="88">
        <v>1.0149999999999999</v>
      </c>
      <c r="F187" s="46">
        <f>E187*F184</f>
        <v>160.167</v>
      </c>
      <c r="G187" s="116"/>
      <c r="H187" s="117"/>
      <c r="I187" s="120">
        <f>I175</f>
        <v>144.06779661016949</v>
      </c>
      <c r="J187" s="98">
        <f t="shared" ref="J187:J192" si="67">I187*F187</f>
        <v>23074.906779661018</v>
      </c>
      <c r="K187" s="98"/>
      <c r="L187" s="98"/>
      <c r="M187" s="117">
        <f>H187+J187</f>
        <v>23074.906779661018</v>
      </c>
    </row>
    <row r="188" spans="1:13" s="10" customFormat="1" ht="20.25" customHeight="1" x14ac:dyDescent="0.2">
      <c r="A188" s="48"/>
      <c r="B188" s="31" t="s">
        <v>17</v>
      </c>
      <c r="C188" s="6" t="s">
        <v>32</v>
      </c>
      <c r="D188" s="74" t="s">
        <v>15</v>
      </c>
      <c r="E188" s="35"/>
      <c r="F188" s="32">
        <f>(2563.5+126.2)/1000</f>
        <v>2.6896999999999998</v>
      </c>
      <c r="G188" s="105"/>
      <c r="H188" s="106"/>
      <c r="I188" s="107">
        <f>I176</f>
        <v>2603.3898305084749</v>
      </c>
      <c r="J188" s="108">
        <f t="shared" si="67"/>
        <v>7002.3376271186444</v>
      </c>
      <c r="K188" s="108"/>
      <c r="L188" s="108"/>
      <c r="M188" s="106">
        <f t="shared" ref="M188:M192" si="68">J188+H188</f>
        <v>7002.3376271186444</v>
      </c>
    </row>
    <row r="189" spans="1:13" s="10" customFormat="1" ht="20.25" customHeight="1" x14ac:dyDescent="0.2">
      <c r="A189" s="48"/>
      <c r="B189" s="43" t="s">
        <v>17</v>
      </c>
      <c r="C189" s="6" t="s">
        <v>33</v>
      </c>
      <c r="D189" s="74" t="s">
        <v>15</v>
      </c>
      <c r="E189" s="35"/>
      <c r="F189" s="32">
        <f>(94.7+1640.6)/1000</f>
        <v>1.7353000000000001</v>
      </c>
      <c r="G189" s="105"/>
      <c r="H189" s="106"/>
      <c r="I189" s="107">
        <f>I188</f>
        <v>2603.3898305084749</v>
      </c>
      <c r="J189" s="108">
        <f t="shared" si="67"/>
        <v>4517.6623728813565</v>
      </c>
      <c r="K189" s="108"/>
      <c r="L189" s="108"/>
      <c r="M189" s="106">
        <f t="shared" si="68"/>
        <v>4517.6623728813565</v>
      </c>
    </row>
    <row r="190" spans="1:13" s="10" customFormat="1" ht="20.25" customHeight="1" x14ac:dyDescent="0.2">
      <c r="A190" s="48"/>
      <c r="B190" s="31" t="s">
        <v>17</v>
      </c>
      <c r="C190" s="6" t="s">
        <v>30</v>
      </c>
      <c r="D190" s="74" t="s">
        <v>15</v>
      </c>
      <c r="E190" s="35"/>
      <c r="F190" s="32">
        <f>(1064.8+195.2+38.5)/1000</f>
        <v>1.2985</v>
      </c>
      <c r="G190" s="105"/>
      <c r="H190" s="106"/>
      <c r="I190" s="107">
        <f>I189</f>
        <v>2603.3898305084749</v>
      </c>
      <c r="J190" s="108">
        <f t="shared" si="67"/>
        <v>3380.5016949152546</v>
      </c>
      <c r="K190" s="108"/>
      <c r="L190" s="108"/>
      <c r="M190" s="106">
        <f t="shared" si="68"/>
        <v>3380.5016949152546</v>
      </c>
    </row>
    <row r="191" spans="1:13" s="10" customFormat="1" ht="20.25" customHeight="1" x14ac:dyDescent="0.2">
      <c r="A191" s="48"/>
      <c r="B191" s="43" t="s">
        <v>17</v>
      </c>
      <c r="C191" s="6" t="s">
        <v>38</v>
      </c>
      <c r="D191" s="74" t="s">
        <v>15</v>
      </c>
      <c r="E191" s="35"/>
      <c r="F191" s="32">
        <f>(4621.7+4621.7)/1000</f>
        <v>9.2433999999999994</v>
      </c>
      <c r="G191" s="105"/>
      <c r="H191" s="106"/>
      <c r="I191" s="107">
        <f>I190</f>
        <v>2603.3898305084749</v>
      </c>
      <c r="J191" s="108">
        <f t="shared" si="67"/>
        <v>24064.173559322036</v>
      </c>
      <c r="K191" s="108"/>
      <c r="L191" s="108"/>
      <c r="M191" s="106">
        <f t="shared" si="68"/>
        <v>24064.173559322036</v>
      </c>
    </row>
    <row r="192" spans="1:13" s="10" customFormat="1" ht="20.25" customHeight="1" x14ac:dyDescent="0.2">
      <c r="A192" s="48"/>
      <c r="B192" s="31" t="s">
        <v>17</v>
      </c>
      <c r="C192" s="6" t="s">
        <v>37</v>
      </c>
      <c r="D192" s="74" t="s">
        <v>15</v>
      </c>
      <c r="E192" s="35"/>
      <c r="F192" s="32">
        <f>(242.5+565.9+1800+36+213)/1000</f>
        <v>2.8574000000000002</v>
      </c>
      <c r="G192" s="105"/>
      <c r="H192" s="106"/>
      <c r="I192" s="107">
        <f>I178</f>
        <v>2657.6271186440681</v>
      </c>
      <c r="J192" s="108">
        <f t="shared" si="67"/>
        <v>7593.9037288135605</v>
      </c>
      <c r="K192" s="108"/>
      <c r="L192" s="108"/>
      <c r="M192" s="106">
        <f t="shared" si="68"/>
        <v>7593.9037288135605</v>
      </c>
    </row>
    <row r="193" spans="1:13" s="84" customFormat="1" ht="17.25" customHeight="1" x14ac:dyDescent="0.25">
      <c r="A193" s="13"/>
      <c r="B193" s="43" t="s">
        <v>17</v>
      </c>
      <c r="C193" s="57" t="s">
        <v>68</v>
      </c>
      <c r="D193" s="81" t="s">
        <v>69</v>
      </c>
      <c r="E193" s="82"/>
      <c r="F193" s="79">
        <f>(F188+F189+F190+F191+F192)*10</f>
        <v>178.24299999999999</v>
      </c>
      <c r="G193" s="111"/>
      <c r="H193" s="112"/>
      <c r="I193" s="112">
        <v>4</v>
      </c>
      <c r="J193" s="112">
        <f>F193*I193</f>
        <v>712.97199999999998</v>
      </c>
      <c r="K193" s="112"/>
      <c r="L193" s="112"/>
      <c r="M193" s="98">
        <f t="shared" ref="M193:M196" si="69">H193+J193+L193</f>
        <v>712.97199999999998</v>
      </c>
    </row>
    <row r="194" spans="1:13" s="84" customFormat="1" ht="17.25" customHeight="1" x14ac:dyDescent="0.25">
      <c r="A194" s="13"/>
      <c r="B194" s="31" t="s">
        <v>17</v>
      </c>
      <c r="C194" s="57" t="s">
        <v>66</v>
      </c>
      <c r="D194" s="81" t="s">
        <v>4</v>
      </c>
      <c r="E194" s="82"/>
      <c r="F194" s="79">
        <f>F184/0.2*1.3</f>
        <v>1025.7</v>
      </c>
      <c r="G194" s="111"/>
      <c r="H194" s="112"/>
      <c r="I194" s="112">
        <f>32.81/1.18</f>
        <v>27.805084745762716</v>
      </c>
      <c r="J194" s="112">
        <f>F194*I194</f>
        <v>28519.675423728819</v>
      </c>
      <c r="K194" s="112"/>
      <c r="L194" s="112"/>
      <c r="M194" s="98">
        <f t="shared" si="69"/>
        <v>28519.675423728819</v>
      </c>
    </row>
    <row r="195" spans="1:13" s="84" customFormat="1" ht="17.25" customHeight="1" x14ac:dyDescent="0.25">
      <c r="A195" s="13"/>
      <c r="B195" s="43" t="s">
        <v>17</v>
      </c>
      <c r="C195" s="57" t="s">
        <v>67</v>
      </c>
      <c r="D195" s="81" t="s">
        <v>34</v>
      </c>
      <c r="E195" s="85">
        <f>(1.4+4.29+0.2)/100</f>
        <v>5.8899999999999994E-2</v>
      </c>
      <c r="F195" s="79">
        <f>E195*F184</f>
        <v>9.2944200000000006</v>
      </c>
      <c r="G195" s="111"/>
      <c r="H195" s="112"/>
      <c r="I195" s="112">
        <v>700</v>
      </c>
      <c r="J195" s="112">
        <f>F195*I195</f>
        <v>6506.0940000000001</v>
      </c>
      <c r="K195" s="112"/>
      <c r="L195" s="112"/>
      <c r="M195" s="98">
        <f t="shared" si="69"/>
        <v>6506.0940000000001</v>
      </c>
    </row>
    <row r="196" spans="1:13" s="84" customFormat="1" ht="18" customHeight="1" x14ac:dyDescent="0.25">
      <c r="A196" s="13"/>
      <c r="B196" s="43"/>
      <c r="C196" s="57" t="s">
        <v>64</v>
      </c>
      <c r="D196" s="81" t="s">
        <v>7</v>
      </c>
      <c r="E196" s="82">
        <v>0.6</v>
      </c>
      <c r="F196" s="79">
        <f>E196*F182</f>
        <v>6.5127599999999992</v>
      </c>
      <c r="G196" s="111"/>
      <c r="H196" s="112"/>
      <c r="I196" s="112">
        <v>4</v>
      </c>
      <c r="J196" s="112">
        <f>F196*I196</f>
        <v>26.051039999999997</v>
      </c>
      <c r="K196" s="112"/>
      <c r="L196" s="112"/>
      <c r="M196" s="98">
        <f t="shared" si="69"/>
        <v>26.051039999999997</v>
      </c>
    </row>
    <row r="197" spans="1:13" s="84" customFormat="1" ht="18" customHeight="1" x14ac:dyDescent="0.25">
      <c r="A197" s="13"/>
      <c r="B197" s="77"/>
      <c r="C197" s="57"/>
      <c r="D197" s="81"/>
      <c r="E197" s="82"/>
      <c r="F197" s="79"/>
      <c r="G197" s="111"/>
      <c r="H197" s="112"/>
      <c r="I197" s="112"/>
      <c r="J197" s="112"/>
      <c r="K197" s="112"/>
      <c r="L197" s="112"/>
      <c r="M197" s="98"/>
    </row>
    <row r="198" spans="1:13" s="12" customFormat="1" ht="51.75" customHeight="1" x14ac:dyDescent="0.25">
      <c r="A198" s="42">
        <v>1.21</v>
      </c>
      <c r="B198" s="37" t="s">
        <v>92</v>
      </c>
      <c r="C198" s="28" t="s">
        <v>96</v>
      </c>
      <c r="D198" s="40" t="s">
        <v>34</v>
      </c>
      <c r="E198" s="41"/>
      <c r="F198" s="34">
        <f>140.4+22</f>
        <v>162.4</v>
      </c>
      <c r="G198" s="113"/>
      <c r="H198" s="113"/>
      <c r="I198" s="102"/>
      <c r="J198" s="114"/>
      <c r="K198" s="114"/>
      <c r="L198" s="114"/>
      <c r="M198" s="115"/>
    </row>
    <row r="199" spans="1:13" s="10" customFormat="1" ht="21.75" customHeight="1" x14ac:dyDescent="0.2">
      <c r="A199" s="42"/>
      <c r="B199" s="43" t="s">
        <v>25</v>
      </c>
      <c r="C199" s="44" t="s">
        <v>13</v>
      </c>
      <c r="D199" s="45" t="s">
        <v>34</v>
      </c>
      <c r="E199" s="46">
        <v>1</v>
      </c>
      <c r="F199" s="47">
        <f>F198*E199</f>
        <v>162.4</v>
      </c>
      <c r="G199" s="116">
        <f>G185</f>
        <v>112.5</v>
      </c>
      <c r="H199" s="117">
        <f>F199*G199</f>
        <v>18270</v>
      </c>
      <c r="I199" s="107"/>
      <c r="J199" s="98"/>
      <c r="K199" s="98"/>
      <c r="L199" s="98"/>
      <c r="M199" s="117">
        <f>H199+J199</f>
        <v>18270</v>
      </c>
    </row>
    <row r="200" spans="1:13" s="80" customFormat="1" ht="21.75" customHeight="1" x14ac:dyDescent="0.25">
      <c r="A200" s="76"/>
      <c r="B200" s="77"/>
      <c r="C200" s="44" t="s">
        <v>55</v>
      </c>
      <c r="D200" s="78" t="s">
        <v>7</v>
      </c>
      <c r="E200" s="79">
        <v>1.28</v>
      </c>
      <c r="F200" s="79">
        <f>E200*F198</f>
        <v>207.87200000000001</v>
      </c>
      <c r="G200" s="110"/>
      <c r="H200" s="98"/>
      <c r="I200" s="98"/>
      <c r="J200" s="98"/>
      <c r="K200" s="98">
        <v>4</v>
      </c>
      <c r="L200" s="98">
        <f>F200*K200</f>
        <v>831.48800000000006</v>
      </c>
      <c r="M200" s="98">
        <f t="shared" ref="M200" si="70">H200+J200+L200</f>
        <v>831.48800000000006</v>
      </c>
    </row>
    <row r="201" spans="1:13" s="10" customFormat="1" ht="19.5" customHeight="1" x14ac:dyDescent="0.2">
      <c r="A201" s="42"/>
      <c r="B201" s="43" t="s">
        <v>17</v>
      </c>
      <c r="C201" s="44" t="s">
        <v>39</v>
      </c>
      <c r="D201" s="45" t="s">
        <v>34</v>
      </c>
      <c r="E201" s="88">
        <v>1.0149999999999999</v>
      </c>
      <c r="F201" s="46">
        <f>E201*F198</f>
        <v>164.83599999999998</v>
      </c>
      <c r="G201" s="116"/>
      <c r="H201" s="117"/>
      <c r="I201" s="120">
        <f>I187</f>
        <v>144.06779661016949</v>
      </c>
      <c r="J201" s="98">
        <f t="shared" ref="J201:J205" si="71">I201*F201</f>
        <v>23747.559322033896</v>
      </c>
      <c r="K201" s="98"/>
      <c r="L201" s="98"/>
      <c r="M201" s="117">
        <f>H201+J201</f>
        <v>23747.559322033896</v>
      </c>
    </row>
    <row r="202" spans="1:13" s="10" customFormat="1" ht="20.25" customHeight="1" x14ac:dyDescent="0.2">
      <c r="A202" s="48"/>
      <c r="B202" s="31"/>
      <c r="C202" s="6" t="s">
        <v>32</v>
      </c>
      <c r="D202" s="74" t="s">
        <v>15</v>
      </c>
      <c r="E202" s="35"/>
      <c r="F202" s="32">
        <f>(3056.5+84.8)/1000</f>
        <v>3.1413000000000002</v>
      </c>
      <c r="G202" s="105"/>
      <c r="H202" s="106"/>
      <c r="I202" s="107">
        <f>I188</f>
        <v>2603.3898305084749</v>
      </c>
      <c r="J202" s="108">
        <f t="shared" si="71"/>
        <v>8178.0284745762729</v>
      </c>
      <c r="K202" s="108"/>
      <c r="L202" s="108"/>
      <c r="M202" s="106">
        <f t="shared" ref="M202:M205" si="72">J202+H202</f>
        <v>8178.0284745762729</v>
      </c>
    </row>
    <row r="203" spans="1:13" s="10" customFormat="1" ht="20.25" customHeight="1" x14ac:dyDescent="0.2">
      <c r="A203" s="48"/>
      <c r="B203" s="31"/>
      <c r="C203" s="6" t="s">
        <v>33</v>
      </c>
      <c r="D203" s="74" t="s">
        <v>15</v>
      </c>
      <c r="E203" s="35"/>
      <c r="F203" s="32">
        <f>(94.7+1956.1)/1000</f>
        <v>2.0507999999999997</v>
      </c>
      <c r="G203" s="105"/>
      <c r="H203" s="106"/>
      <c r="I203" s="107">
        <f>I202</f>
        <v>2603.3898305084749</v>
      </c>
      <c r="J203" s="108">
        <f t="shared" si="71"/>
        <v>5339.0318644067793</v>
      </c>
      <c r="K203" s="108"/>
      <c r="L203" s="108"/>
      <c r="M203" s="106">
        <f t="shared" si="72"/>
        <v>5339.0318644067793</v>
      </c>
    </row>
    <row r="204" spans="1:13" s="10" customFormat="1" ht="20.25" customHeight="1" x14ac:dyDescent="0.2">
      <c r="A204" s="48"/>
      <c r="B204" s="31"/>
      <c r="C204" s="6" t="s">
        <v>38</v>
      </c>
      <c r="D204" s="74" t="s">
        <v>15</v>
      </c>
      <c r="E204" s="35"/>
      <c r="F204" s="32">
        <f>(4744.9+4744.9+770.3+55.5)/1000</f>
        <v>10.315599999999998</v>
      </c>
      <c r="G204" s="105"/>
      <c r="H204" s="106"/>
      <c r="I204" s="107">
        <f>I203</f>
        <v>2603.3898305084749</v>
      </c>
      <c r="J204" s="108">
        <f t="shared" si="71"/>
        <v>26855.52813559322</v>
      </c>
      <c r="K204" s="108"/>
      <c r="L204" s="108"/>
      <c r="M204" s="106">
        <f t="shared" si="72"/>
        <v>26855.52813559322</v>
      </c>
    </row>
    <row r="205" spans="1:13" s="10" customFormat="1" ht="20.25" customHeight="1" x14ac:dyDescent="0.2">
      <c r="A205" s="48"/>
      <c r="B205" s="31"/>
      <c r="C205" s="6" t="s">
        <v>37</v>
      </c>
      <c r="D205" s="74" t="s">
        <v>15</v>
      </c>
      <c r="E205" s="35"/>
      <c r="F205" s="32">
        <f>(248.5+579.7+2236.2+24.6)/1000</f>
        <v>3.0889999999999995</v>
      </c>
      <c r="G205" s="105"/>
      <c r="H205" s="106"/>
      <c r="I205" s="107">
        <f>I192</f>
        <v>2657.6271186440681</v>
      </c>
      <c r="J205" s="108">
        <f t="shared" si="71"/>
        <v>8209.4101694915244</v>
      </c>
      <c r="K205" s="108"/>
      <c r="L205" s="108"/>
      <c r="M205" s="106">
        <f t="shared" si="72"/>
        <v>8209.4101694915244</v>
      </c>
    </row>
    <row r="206" spans="1:13" s="84" customFormat="1" ht="17.25" customHeight="1" x14ac:dyDescent="0.25">
      <c r="A206" s="13"/>
      <c r="B206" s="43" t="s">
        <v>17</v>
      </c>
      <c r="C206" s="57" t="s">
        <v>68</v>
      </c>
      <c r="D206" s="81" t="s">
        <v>69</v>
      </c>
      <c r="E206" s="82"/>
      <c r="F206" s="79">
        <f>(F202+F203+F204+F205)*10</f>
        <v>185.96699999999998</v>
      </c>
      <c r="G206" s="111"/>
      <c r="H206" s="112"/>
      <c r="I206" s="112">
        <v>4</v>
      </c>
      <c r="J206" s="112">
        <f>F206*I206</f>
        <v>743.86799999999994</v>
      </c>
      <c r="K206" s="112"/>
      <c r="L206" s="112"/>
      <c r="M206" s="98">
        <f t="shared" ref="M206:M209" si="73">H206+J206+L206</f>
        <v>743.86799999999994</v>
      </c>
    </row>
    <row r="207" spans="1:13" s="84" customFormat="1" ht="17.25" customHeight="1" x14ac:dyDescent="0.25">
      <c r="A207" s="13"/>
      <c r="B207" s="31" t="s">
        <v>17</v>
      </c>
      <c r="C207" s="57" t="s">
        <v>66</v>
      </c>
      <c r="D207" s="81" t="s">
        <v>4</v>
      </c>
      <c r="E207" s="82"/>
      <c r="F207" s="79">
        <f>F198/0.2*1.3</f>
        <v>1055.6000000000001</v>
      </c>
      <c r="G207" s="111"/>
      <c r="H207" s="112"/>
      <c r="I207" s="112">
        <f>32.81/1.18</f>
        <v>27.805084745762716</v>
      </c>
      <c r="J207" s="112">
        <f>F207*I207</f>
        <v>29351.047457627126</v>
      </c>
      <c r="K207" s="112"/>
      <c r="L207" s="112"/>
      <c r="M207" s="98">
        <f t="shared" si="73"/>
        <v>29351.047457627126</v>
      </c>
    </row>
    <row r="208" spans="1:13" s="84" customFormat="1" ht="17.25" customHeight="1" x14ac:dyDescent="0.25">
      <c r="A208" s="13"/>
      <c r="B208" s="43" t="s">
        <v>17</v>
      </c>
      <c r="C208" s="57" t="s">
        <v>67</v>
      </c>
      <c r="D208" s="81" t="s">
        <v>34</v>
      </c>
      <c r="E208" s="85">
        <f>(1.4+4.29+0.2)/100</f>
        <v>5.8899999999999994E-2</v>
      </c>
      <c r="F208" s="79">
        <f>E208*F198</f>
        <v>9.5653600000000001</v>
      </c>
      <c r="G208" s="111"/>
      <c r="H208" s="112"/>
      <c r="I208" s="112">
        <v>700</v>
      </c>
      <c r="J208" s="112">
        <f>F208*I208</f>
        <v>6695.7520000000004</v>
      </c>
      <c r="K208" s="112"/>
      <c r="L208" s="112"/>
      <c r="M208" s="98">
        <f t="shared" si="73"/>
        <v>6695.7520000000004</v>
      </c>
    </row>
    <row r="209" spans="1:14" s="84" customFormat="1" ht="18" customHeight="1" x14ac:dyDescent="0.25">
      <c r="A209" s="13"/>
      <c r="B209" s="43"/>
      <c r="C209" s="57" t="s">
        <v>64</v>
      </c>
      <c r="D209" s="81" t="s">
        <v>7</v>
      </c>
      <c r="E209" s="82">
        <v>0.6</v>
      </c>
      <c r="F209" s="79">
        <f>E209*F196</f>
        <v>3.9076559999999994</v>
      </c>
      <c r="G209" s="111"/>
      <c r="H209" s="112"/>
      <c r="I209" s="112">
        <v>4</v>
      </c>
      <c r="J209" s="112">
        <f>F209*I209</f>
        <v>15.630623999999997</v>
      </c>
      <c r="K209" s="112"/>
      <c r="L209" s="112"/>
      <c r="M209" s="98">
        <f t="shared" si="73"/>
        <v>15.630623999999997</v>
      </c>
    </row>
    <row r="210" spans="1:14" s="84" customFormat="1" ht="18" customHeight="1" x14ac:dyDescent="0.25">
      <c r="A210" s="13"/>
      <c r="B210" s="77"/>
      <c r="C210" s="57"/>
      <c r="D210" s="81"/>
      <c r="E210" s="82"/>
      <c r="F210" s="79"/>
      <c r="G210" s="111"/>
      <c r="H210" s="112"/>
      <c r="I210" s="112"/>
      <c r="J210" s="112"/>
      <c r="K210" s="112"/>
      <c r="L210" s="112"/>
      <c r="M210" s="98"/>
    </row>
    <row r="211" spans="1:14" s="12" customFormat="1" ht="40.5" customHeight="1" x14ac:dyDescent="0.25">
      <c r="A211" s="42">
        <v>1.22</v>
      </c>
      <c r="B211" s="37" t="s">
        <v>25</v>
      </c>
      <c r="C211" s="28" t="s">
        <v>119</v>
      </c>
      <c r="D211" s="40" t="s">
        <v>4</v>
      </c>
      <c r="E211" s="41"/>
      <c r="F211" s="34">
        <v>1113.05</v>
      </c>
      <c r="G211" s="113"/>
      <c r="H211" s="113"/>
      <c r="I211" s="102"/>
      <c r="J211" s="114"/>
      <c r="K211" s="114"/>
      <c r="L211" s="114"/>
      <c r="M211" s="115"/>
    </row>
    <row r="212" spans="1:14" s="10" customFormat="1" ht="21.75" customHeight="1" x14ac:dyDescent="0.2">
      <c r="A212" s="42"/>
      <c r="B212" s="43" t="s">
        <v>25</v>
      </c>
      <c r="C212" s="44" t="s">
        <v>13</v>
      </c>
      <c r="D212" s="45" t="s">
        <v>4</v>
      </c>
      <c r="E212" s="46">
        <v>1</v>
      </c>
      <c r="F212" s="47">
        <f>F211*E212</f>
        <v>1113.05</v>
      </c>
      <c r="G212" s="116">
        <f>5/0.8</f>
        <v>6.25</v>
      </c>
      <c r="H212" s="117">
        <f>F212*G212</f>
        <v>6956.5625</v>
      </c>
      <c r="I212" s="107"/>
      <c r="J212" s="98"/>
      <c r="K212" s="98"/>
      <c r="L212" s="98"/>
      <c r="M212" s="117">
        <f>H212+J212</f>
        <v>6956.5625</v>
      </c>
    </row>
    <row r="213" spans="1:14" s="10" customFormat="1" ht="19.5" customHeight="1" x14ac:dyDescent="0.2">
      <c r="A213" s="42"/>
      <c r="B213" s="43" t="s">
        <v>17</v>
      </c>
      <c r="C213" s="44" t="s">
        <v>120</v>
      </c>
      <c r="D213" s="45" t="s">
        <v>4</v>
      </c>
      <c r="E213" s="88">
        <v>1.1499999999999999</v>
      </c>
      <c r="F213" s="46">
        <f>E213*F211</f>
        <v>1280.0074999999999</v>
      </c>
      <c r="G213" s="116"/>
      <c r="H213" s="117"/>
      <c r="I213" s="120">
        <v>0</v>
      </c>
      <c r="J213" s="98">
        <f t="shared" ref="J213:J215" si="74">I213*F213</f>
        <v>0</v>
      </c>
      <c r="K213" s="98"/>
      <c r="L213" s="98"/>
      <c r="M213" s="117">
        <f>H213+J213</f>
        <v>0</v>
      </c>
    </row>
    <row r="214" spans="1:14" s="10" customFormat="1" ht="19.5" customHeight="1" x14ac:dyDescent="0.2">
      <c r="A214" s="42"/>
      <c r="B214" s="43" t="s">
        <v>17</v>
      </c>
      <c r="C214" s="44" t="s">
        <v>121</v>
      </c>
      <c r="D214" s="45" t="s">
        <v>4</v>
      </c>
      <c r="E214" s="88">
        <v>1.1499999999999999</v>
      </c>
      <c r="F214" s="46">
        <f>E214*F212</f>
        <v>1280.0074999999999</v>
      </c>
      <c r="G214" s="116"/>
      <c r="H214" s="117"/>
      <c r="I214" s="120">
        <v>0</v>
      </c>
      <c r="J214" s="98">
        <f t="shared" ref="J214" si="75">I214*F214</f>
        <v>0</v>
      </c>
      <c r="K214" s="98"/>
      <c r="L214" s="98"/>
      <c r="M214" s="117">
        <f>H214+J214</f>
        <v>0</v>
      </c>
    </row>
    <row r="215" spans="1:14" s="10" customFormat="1" ht="20.25" customHeight="1" x14ac:dyDescent="0.2">
      <c r="A215" s="48"/>
      <c r="B215" s="31"/>
      <c r="C215" s="6" t="s">
        <v>122</v>
      </c>
      <c r="D215" s="74" t="s">
        <v>69</v>
      </c>
      <c r="E215" s="32">
        <v>0.2</v>
      </c>
      <c r="F215" s="32">
        <f>E215*F211</f>
        <v>222.61</v>
      </c>
      <c r="G215" s="105"/>
      <c r="H215" s="106"/>
      <c r="I215" s="120">
        <v>0</v>
      </c>
      <c r="J215" s="108">
        <f t="shared" si="74"/>
        <v>0</v>
      </c>
      <c r="K215" s="108"/>
      <c r="L215" s="108"/>
      <c r="M215" s="106">
        <f t="shared" ref="M215" si="76">J215+H215</f>
        <v>0</v>
      </c>
    </row>
    <row r="216" spans="1:14" s="84" customFormat="1" ht="18" customHeight="1" x14ac:dyDescent="0.25">
      <c r="A216" s="13"/>
      <c r="B216" s="77"/>
      <c r="C216" s="57"/>
      <c r="D216" s="81"/>
      <c r="E216" s="82"/>
      <c r="F216" s="79"/>
      <c r="G216" s="111"/>
      <c r="H216" s="112"/>
      <c r="I216" s="112"/>
      <c r="J216" s="112"/>
      <c r="K216" s="112"/>
      <c r="L216" s="112"/>
      <c r="M216" s="98"/>
    </row>
    <row r="217" spans="1:14" s="10" customFormat="1" ht="24.75" customHeight="1" x14ac:dyDescent="0.2">
      <c r="A217" s="48"/>
      <c r="B217" s="31"/>
      <c r="C217" s="11" t="s">
        <v>97</v>
      </c>
      <c r="D217" s="65"/>
      <c r="E217" s="32"/>
      <c r="F217" s="8"/>
      <c r="G217" s="105"/>
      <c r="H217" s="106"/>
      <c r="I217" s="109"/>
      <c r="J217" s="108"/>
      <c r="K217" s="108"/>
      <c r="L217" s="108"/>
      <c r="M217" s="106"/>
    </row>
    <row r="218" spans="1:14" s="93" customFormat="1" ht="30" customHeight="1" x14ac:dyDescent="0.25">
      <c r="A218" s="42">
        <v>2.1</v>
      </c>
      <c r="B218" s="90" t="s">
        <v>98</v>
      </c>
      <c r="C218" s="28" t="s">
        <v>47</v>
      </c>
      <c r="D218" s="40" t="s">
        <v>15</v>
      </c>
      <c r="E218" s="91"/>
      <c r="F218" s="92">
        <f>F222+F223+F224+F225+F226+F227+F228+F229+0.016+0.0184+0.065</f>
        <v>32.609479999999998</v>
      </c>
      <c r="G218" s="114"/>
      <c r="H218" s="114"/>
      <c r="I218" s="114"/>
      <c r="J218" s="114"/>
      <c r="K218" s="114"/>
      <c r="L218" s="114"/>
      <c r="M218" s="114"/>
    </row>
    <row r="219" spans="1:14" s="96" customFormat="1" ht="38.25" customHeight="1" x14ac:dyDescent="0.25">
      <c r="A219" s="94"/>
      <c r="B219" s="77" t="s">
        <v>25</v>
      </c>
      <c r="C219" s="44" t="s">
        <v>99</v>
      </c>
      <c r="D219" s="78" t="s">
        <v>15</v>
      </c>
      <c r="E219" s="79">
        <v>1</v>
      </c>
      <c r="F219" s="95">
        <f>E219*F218</f>
        <v>32.609479999999998</v>
      </c>
      <c r="G219" s="107">
        <f>1000/0.8</f>
        <v>1250</v>
      </c>
      <c r="H219" s="98">
        <f>F219*G219</f>
        <v>40761.85</v>
      </c>
      <c r="I219" s="98"/>
      <c r="J219" s="98"/>
      <c r="K219" s="98"/>
      <c r="L219" s="98"/>
      <c r="M219" s="122">
        <f t="shared" ref="M219:M233" si="77">H219+J219+L219</f>
        <v>40761.85</v>
      </c>
    </row>
    <row r="220" spans="1:14" s="80" customFormat="1" ht="19.5" customHeight="1" x14ac:dyDescent="0.25">
      <c r="A220" s="76"/>
      <c r="B220" s="77" t="s">
        <v>17</v>
      </c>
      <c r="C220" s="44" t="s">
        <v>105</v>
      </c>
      <c r="D220" s="78" t="s">
        <v>54</v>
      </c>
      <c r="E220" s="79">
        <f>0.6+0.75</f>
        <v>1.35</v>
      </c>
      <c r="F220" s="79">
        <f>E220*F218</f>
        <v>44.022798000000002</v>
      </c>
      <c r="G220" s="110"/>
      <c r="H220" s="98"/>
      <c r="I220" s="98"/>
      <c r="J220" s="98"/>
      <c r="K220" s="98">
        <v>38.380000000000003</v>
      </c>
      <c r="L220" s="98">
        <f>F220*K220</f>
        <v>1689.5949872400001</v>
      </c>
      <c r="M220" s="98">
        <f t="shared" si="77"/>
        <v>1689.5949872400001</v>
      </c>
    </row>
    <row r="221" spans="1:14" s="80" customFormat="1" ht="21.75" customHeight="1" x14ac:dyDescent="0.25">
      <c r="A221" s="76"/>
      <c r="B221" s="77" t="s">
        <v>17</v>
      </c>
      <c r="C221" s="44" t="s">
        <v>55</v>
      </c>
      <c r="D221" s="78" t="s">
        <v>7</v>
      </c>
      <c r="E221" s="79">
        <v>1.92</v>
      </c>
      <c r="F221" s="79">
        <f>E221*F218</f>
        <v>62.610201599999996</v>
      </c>
      <c r="G221" s="110"/>
      <c r="H221" s="98"/>
      <c r="I221" s="98"/>
      <c r="J221" s="98"/>
      <c r="K221" s="98">
        <v>4</v>
      </c>
      <c r="L221" s="98">
        <f>F221*K221</f>
        <v>250.44080639999999</v>
      </c>
      <c r="M221" s="98">
        <f t="shared" si="77"/>
        <v>250.44080639999999</v>
      </c>
    </row>
    <row r="222" spans="1:14" s="10" customFormat="1" ht="20.25" customHeight="1" x14ac:dyDescent="0.2">
      <c r="A222" s="48"/>
      <c r="B222" s="77" t="s">
        <v>17</v>
      </c>
      <c r="C222" s="6" t="s">
        <v>133</v>
      </c>
      <c r="D222" s="74" t="s">
        <v>15</v>
      </c>
      <c r="E222" s="35"/>
      <c r="F222" s="32">
        <f>(9898.2+2994.84+15407.78+455.57)/1000</f>
        <v>28.75639</v>
      </c>
      <c r="G222" s="105"/>
      <c r="H222" s="106"/>
      <c r="I222" s="107">
        <v>0</v>
      </c>
      <c r="J222" s="108">
        <f t="shared" ref="J222" si="78">I222*F222</f>
        <v>0</v>
      </c>
      <c r="K222" s="108"/>
      <c r="L222" s="108"/>
      <c r="M222" s="98">
        <f t="shared" si="77"/>
        <v>0</v>
      </c>
      <c r="N222" s="129">
        <f>F222*1000/36.5*(0.3*2+0.11*4)</f>
        <v>819.3601534246576</v>
      </c>
    </row>
    <row r="223" spans="1:14" s="10" customFormat="1" ht="29.25" customHeight="1" x14ac:dyDescent="0.2">
      <c r="A223" s="42"/>
      <c r="B223" s="77" t="s">
        <v>17</v>
      </c>
      <c r="C223" s="73" t="s">
        <v>134</v>
      </c>
      <c r="D223" s="45" t="s">
        <v>15</v>
      </c>
      <c r="E223" s="46"/>
      <c r="F223" s="46">
        <f>348.54/1000</f>
        <v>0.34854000000000002</v>
      </c>
      <c r="G223" s="116"/>
      <c r="H223" s="117"/>
      <c r="I223" s="107">
        <v>0</v>
      </c>
      <c r="J223" s="108">
        <f t="shared" ref="J223:J229" si="79">I223*F223</f>
        <v>0</v>
      </c>
      <c r="K223" s="98"/>
      <c r="L223" s="98"/>
      <c r="M223" s="98">
        <f t="shared" si="77"/>
        <v>0</v>
      </c>
      <c r="N223" s="129">
        <f>F223*1000/78.52*2</f>
        <v>8.8777381558838524</v>
      </c>
    </row>
    <row r="224" spans="1:14" s="10" customFormat="1" ht="29.25" customHeight="1" x14ac:dyDescent="0.2">
      <c r="A224" s="42"/>
      <c r="B224" s="77" t="s">
        <v>17</v>
      </c>
      <c r="C224" s="73" t="s">
        <v>135</v>
      </c>
      <c r="D224" s="45" t="s">
        <v>15</v>
      </c>
      <c r="E224" s="46"/>
      <c r="F224" s="46">
        <f>780.33/1000</f>
        <v>0.78033000000000008</v>
      </c>
      <c r="G224" s="116"/>
      <c r="H224" s="117"/>
      <c r="I224" s="107">
        <v>0</v>
      </c>
      <c r="J224" s="108">
        <f t="shared" si="79"/>
        <v>0</v>
      </c>
      <c r="K224" s="98"/>
      <c r="L224" s="98"/>
      <c r="M224" s="98">
        <f t="shared" si="77"/>
        <v>0</v>
      </c>
      <c r="N224" s="129">
        <f>F224*1000/78.52*2</f>
        <v>19.875955170657161</v>
      </c>
    </row>
    <row r="225" spans="1:23" s="10" customFormat="1" ht="29.25" customHeight="1" x14ac:dyDescent="0.2">
      <c r="A225" s="42"/>
      <c r="B225" s="77" t="s">
        <v>17</v>
      </c>
      <c r="C225" s="73" t="s">
        <v>136</v>
      </c>
      <c r="D225" s="45" t="s">
        <v>15</v>
      </c>
      <c r="E225" s="46"/>
      <c r="F225" s="46">
        <f>(25.12*23)/1000</f>
        <v>0.57775999999999994</v>
      </c>
      <c r="G225" s="116"/>
      <c r="H225" s="117"/>
      <c r="I225" s="107">
        <v>0</v>
      </c>
      <c r="J225" s="108">
        <f t="shared" si="79"/>
        <v>0</v>
      </c>
      <c r="K225" s="98"/>
      <c r="L225" s="98"/>
      <c r="M225" s="98">
        <f t="shared" si="77"/>
        <v>0</v>
      </c>
      <c r="N225" s="129">
        <f>F225*1000/157.04*2</f>
        <v>7.3581253183902193</v>
      </c>
      <c r="Q225" s="10">
        <f>78.52*2</f>
        <v>157.04</v>
      </c>
    </row>
    <row r="226" spans="1:23" s="10" customFormat="1" ht="29.25" customHeight="1" x14ac:dyDescent="0.2">
      <c r="A226" s="42"/>
      <c r="B226" s="77" t="s">
        <v>17</v>
      </c>
      <c r="C226" s="73" t="s">
        <v>137</v>
      </c>
      <c r="D226" s="45" t="s">
        <v>15</v>
      </c>
      <c r="E226" s="46"/>
      <c r="F226" s="46">
        <f>929.44/1000</f>
        <v>0.92944000000000004</v>
      </c>
      <c r="G226" s="116"/>
      <c r="H226" s="117"/>
      <c r="I226" s="107">
        <v>0</v>
      </c>
      <c r="J226" s="108">
        <f t="shared" si="79"/>
        <v>0</v>
      </c>
      <c r="K226" s="98"/>
      <c r="L226" s="98"/>
      <c r="M226" s="98">
        <f t="shared" si="77"/>
        <v>0</v>
      </c>
      <c r="N226" s="129">
        <f>F226*1000/78.52*2</f>
        <v>23.673968415690272</v>
      </c>
    </row>
    <row r="227" spans="1:23" s="10" customFormat="1" ht="29.25" customHeight="1" x14ac:dyDescent="0.2">
      <c r="A227" s="42"/>
      <c r="B227" s="77" t="s">
        <v>17</v>
      </c>
      <c r="C227" s="73" t="s">
        <v>138</v>
      </c>
      <c r="D227" s="45" t="s">
        <v>15</v>
      </c>
      <c r="E227" s="46"/>
      <c r="F227" s="46">
        <f>565.2/1000</f>
        <v>0.56520000000000004</v>
      </c>
      <c r="G227" s="116"/>
      <c r="H227" s="117"/>
      <c r="I227" s="107">
        <v>0</v>
      </c>
      <c r="J227" s="108">
        <f t="shared" si="79"/>
        <v>0</v>
      </c>
      <c r="K227" s="98"/>
      <c r="L227" s="98"/>
      <c r="M227" s="98">
        <f t="shared" si="77"/>
        <v>0</v>
      </c>
      <c r="N227" s="129">
        <f>F227*1000/157.04*2</f>
        <v>7.1981660723382586</v>
      </c>
    </row>
    <row r="228" spans="1:23" s="10" customFormat="1" ht="29.25" customHeight="1" x14ac:dyDescent="0.2">
      <c r="A228" s="42"/>
      <c r="B228" s="77" t="s">
        <v>17</v>
      </c>
      <c r="C228" s="73" t="s">
        <v>139</v>
      </c>
      <c r="D228" s="45" t="s">
        <v>15</v>
      </c>
      <c r="E228" s="46"/>
      <c r="F228" s="46">
        <f>480.42/1000</f>
        <v>0.48042000000000001</v>
      </c>
      <c r="G228" s="116"/>
      <c r="H228" s="117"/>
      <c r="I228" s="107">
        <v>0</v>
      </c>
      <c r="J228" s="108">
        <f t="shared" si="79"/>
        <v>0</v>
      </c>
      <c r="K228" s="98"/>
      <c r="L228" s="98"/>
      <c r="M228" s="98">
        <f t="shared" si="77"/>
        <v>0</v>
      </c>
      <c r="N228" s="129">
        <f>F228*1000/157.04*2</f>
        <v>6.11844116148752</v>
      </c>
    </row>
    <row r="229" spans="1:23" s="10" customFormat="1" ht="22.5" customHeight="1" x14ac:dyDescent="0.2">
      <c r="A229" s="42"/>
      <c r="B229" s="77" t="s">
        <v>17</v>
      </c>
      <c r="C229" s="73" t="s">
        <v>48</v>
      </c>
      <c r="D229" s="45" t="s">
        <v>15</v>
      </c>
      <c r="E229" s="46"/>
      <c r="F229" s="46">
        <f>72/1000</f>
        <v>7.1999999999999995E-2</v>
      </c>
      <c r="G229" s="116"/>
      <c r="H229" s="117"/>
      <c r="I229" s="107">
        <v>0</v>
      </c>
      <c r="J229" s="108">
        <f t="shared" si="79"/>
        <v>0</v>
      </c>
      <c r="K229" s="98"/>
      <c r="L229" s="98"/>
      <c r="M229" s="98">
        <f t="shared" si="77"/>
        <v>0</v>
      </c>
    </row>
    <row r="230" spans="1:23" s="10" customFormat="1" ht="20.25" customHeight="1" x14ac:dyDescent="0.2">
      <c r="A230" s="48"/>
      <c r="B230" s="77" t="s">
        <v>17</v>
      </c>
      <c r="C230" s="6" t="s">
        <v>103</v>
      </c>
      <c r="D230" s="74" t="s">
        <v>5</v>
      </c>
      <c r="E230" s="35"/>
      <c r="F230" s="32">
        <v>160</v>
      </c>
      <c r="G230" s="105"/>
      <c r="H230" s="106"/>
      <c r="I230" s="107">
        <f>I144</f>
        <v>2</v>
      </c>
      <c r="J230" s="108">
        <f t="shared" ref="J230:J231" si="80">I230*F230</f>
        <v>320</v>
      </c>
      <c r="K230" s="108"/>
      <c r="L230" s="108"/>
      <c r="M230" s="98">
        <f t="shared" si="77"/>
        <v>320</v>
      </c>
    </row>
    <row r="231" spans="1:23" s="10" customFormat="1" ht="20.25" customHeight="1" x14ac:dyDescent="0.2">
      <c r="A231" s="48"/>
      <c r="B231" s="77" t="s">
        <v>17</v>
      </c>
      <c r="C231" s="6" t="s">
        <v>104</v>
      </c>
      <c r="D231" s="74" t="s">
        <v>5</v>
      </c>
      <c r="E231" s="35"/>
      <c r="F231" s="32">
        <v>80</v>
      </c>
      <c r="G231" s="105"/>
      <c r="H231" s="106"/>
      <c r="I231" s="107">
        <v>1</v>
      </c>
      <c r="J231" s="108">
        <f t="shared" si="80"/>
        <v>80</v>
      </c>
      <c r="K231" s="108"/>
      <c r="L231" s="108"/>
      <c r="M231" s="98">
        <f t="shared" si="77"/>
        <v>80</v>
      </c>
    </row>
    <row r="232" spans="1:23" s="84" customFormat="1" ht="18" customHeight="1" x14ac:dyDescent="0.25">
      <c r="A232" s="13"/>
      <c r="B232" s="77" t="s">
        <v>17</v>
      </c>
      <c r="C232" s="57" t="s">
        <v>101</v>
      </c>
      <c r="D232" s="81" t="s">
        <v>69</v>
      </c>
      <c r="E232" s="82">
        <v>2</v>
      </c>
      <c r="F232" s="79">
        <f>E232*F218</f>
        <v>65.218959999999996</v>
      </c>
      <c r="G232" s="111"/>
      <c r="H232" s="112"/>
      <c r="I232" s="112">
        <v>6</v>
      </c>
      <c r="J232" s="112">
        <f>F232*I232</f>
        <v>391.31376</v>
      </c>
      <c r="K232" s="112"/>
      <c r="L232" s="112"/>
      <c r="M232" s="98">
        <f t="shared" si="77"/>
        <v>391.31376</v>
      </c>
      <c r="N232" s="83"/>
      <c r="O232" s="83"/>
      <c r="P232" s="83"/>
      <c r="Q232" s="83"/>
      <c r="R232" s="83"/>
      <c r="S232" s="83"/>
      <c r="T232" s="83"/>
      <c r="U232" s="83"/>
      <c r="V232" s="83"/>
      <c r="W232" s="83"/>
    </row>
    <row r="233" spans="1:23" s="97" customFormat="1" ht="20.25" customHeight="1" x14ac:dyDescent="0.2">
      <c r="A233" s="42"/>
      <c r="B233" s="77"/>
      <c r="C233" s="44" t="s">
        <v>102</v>
      </c>
      <c r="D233" s="78" t="s">
        <v>7</v>
      </c>
      <c r="E233" s="79">
        <v>2.78</v>
      </c>
      <c r="F233" s="79">
        <f>E233*F218</f>
        <v>90.654354399999988</v>
      </c>
      <c r="G233" s="98"/>
      <c r="H233" s="98"/>
      <c r="I233" s="98">
        <v>4</v>
      </c>
      <c r="J233" s="98">
        <f>F233*I233</f>
        <v>362.61741759999995</v>
      </c>
      <c r="K233" s="98"/>
      <c r="L233" s="98"/>
      <c r="M233" s="98">
        <f t="shared" si="77"/>
        <v>362.61741759999995</v>
      </c>
    </row>
    <row r="234" spans="1:23" s="97" customFormat="1" ht="18.75" customHeight="1" x14ac:dyDescent="0.2">
      <c r="A234" s="42"/>
      <c r="B234" s="77"/>
      <c r="C234" s="44"/>
      <c r="D234" s="78"/>
      <c r="E234" s="79"/>
      <c r="F234" s="79"/>
      <c r="G234" s="98"/>
      <c r="H234" s="98"/>
      <c r="I234" s="98"/>
      <c r="J234" s="98"/>
      <c r="K234" s="98"/>
      <c r="L234" s="98"/>
      <c r="M234" s="98"/>
    </row>
    <row r="235" spans="1:23" s="93" customFormat="1" ht="68.25" customHeight="1" x14ac:dyDescent="0.25">
      <c r="A235" s="42">
        <v>2.2000000000000002</v>
      </c>
      <c r="B235" s="90" t="s">
        <v>106</v>
      </c>
      <c r="C235" s="39" t="s">
        <v>118</v>
      </c>
      <c r="D235" s="40" t="s">
        <v>15</v>
      </c>
      <c r="E235" s="91"/>
      <c r="F235" s="92">
        <f>F239+F240+F241+F242+F243+F244+F245+F246+F247+F248+F249</f>
        <v>89.081159999999997</v>
      </c>
      <c r="G235" s="114"/>
      <c r="H235" s="114"/>
      <c r="I235" s="114"/>
      <c r="J235" s="114"/>
      <c r="K235" s="114"/>
      <c r="L235" s="114"/>
      <c r="M235" s="114"/>
    </row>
    <row r="236" spans="1:23" s="96" customFormat="1" ht="18" customHeight="1" x14ac:dyDescent="0.25">
      <c r="A236" s="94"/>
      <c r="B236" s="43" t="s">
        <v>25</v>
      </c>
      <c r="C236" s="44" t="s">
        <v>13</v>
      </c>
      <c r="D236" s="78" t="s">
        <v>15</v>
      </c>
      <c r="E236" s="79">
        <v>1</v>
      </c>
      <c r="F236" s="95">
        <f>E236*F235</f>
        <v>89.081159999999997</v>
      </c>
      <c r="G236" s="107">
        <f>1200/0.8</f>
        <v>1500</v>
      </c>
      <c r="H236" s="98">
        <f>F236*G236</f>
        <v>133621.74</v>
      </c>
      <c r="I236" s="98"/>
      <c r="J236" s="98"/>
      <c r="K236" s="98"/>
      <c r="L236" s="98"/>
      <c r="M236" s="122">
        <f t="shared" ref="M236:M251" si="81">H236+J236+L236</f>
        <v>133621.74</v>
      </c>
    </row>
    <row r="237" spans="1:23" s="80" customFormat="1" ht="18" customHeight="1" x14ac:dyDescent="0.25">
      <c r="A237" s="76"/>
      <c r="B237" s="77" t="s">
        <v>17</v>
      </c>
      <c r="C237" s="44" t="s">
        <v>100</v>
      </c>
      <c r="D237" s="78" t="s">
        <v>54</v>
      </c>
      <c r="E237" s="79">
        <f>1.02+0.31</f>
        <v>1.33</v>
      </c>
      <c r="F237" s="79">
        <f>E237*F235</f>
        <v>118.47794280000001</v>
      </c>
      <c r="G237" s="110"/>
      <c r="H237" s="98"/>
      <c r="I237" s="98"/>
      <c r="J237" s="98"/>
      <c r="K237" s="98">
        <f>K220</f>
        <v>38.380000000000003</v>
      </c>
      <c r="L237" s="98">
        <f>F237*K237</f>
        <v>4547.1834446640005</v>
      </c>
      <c r="M237" s="98">
        <f t="shared" si="81"/>
        <v>4547.1834446640005</v>
      </c>
    </row>
    <row r="238" spans="1:23" s="80" customFormat="1" ht="18" customHeight="1" x14ac:dyDescent="0.25">
      <c r="A238" s="76"/>
      <c r="B238" s="77" t="s">
        <v>17</v>
      </c>
      <c r="C238" s="44" t="s">
        <v>55</v>
      </c>
      <c r="D238" s="78" t="s">
        <v>7</v>
      </c>
      <c r="E238" s="79">
        <v>4.3099999999999996</v>
      </c>
      <c r="F238" s="79">
        <f>E238*F235</f>
        <v>383.93979959999996</v>
      </c>
      <c r="G238" s="110"/>
      <c r="H238" s="98"/>
      <c r="I238" s="98"/>
      <c r="J238" s="98"/>
      <c r="K238" s="98">
        <v>4</v>
      </c>
      <c r="L238" s="98">
        <f>F238*K238</f>
        <v>1535.7591983999998</v>
      </c>
      <c r="M238" s="98">
        <f t="shared" si="81"/>
        <v>1535.7591983999998</v>
      </c>
    </row>
    <row r="239" spans="1:23" s="10" customFormat="1" ht="17.25" customHeight="1" x14ac:dyDescent="0.2">
      <c r="A239" s="48"/>
      <c r="B239" s="77" t="s">
        <v>17</v>
      </c>
      <c r="C239" s="6" t="s">
        <v>108</v>
      </c>
      <c r="D239" s="74" t="s">
        <v>15</v>
      </c>
      <c r="E239" s="35"/>
      <c r="F239" s="32">
        <f>(375.31+371.14+283.21+282.18+92.78+91.66+33.88+136.07+185.57+183.32+185.57+183.32+185.57+183.32+5606.94+2744.82+5668.41+2785.17+900.86+4898.45)/1000</f>
        <v>25.377549999999999</v>
      </c>
      <c r="G239" s="105"/>
      <c r="H239" s="106"/>
      <c r="I239" s="109"/>
      <c r="J239" s="108">
        <f t="shared" ref="J239:J249" si="82">I239*F239</f>
        <v>0</v>
      </c>
      <c r="K239" s="108"/>
      <c r="L239" s="108"/>
      <c r="M239" s="106">
        <f t="shared" ref="M239:M249" si="83">J239+H239</f>
        <v>0</v>
      </c>
      <c r="N239" s="129">
        <f>F239*1000/12.56*0.1*4</f>
        <v>808.20222929936301</v>
      </c>
    </row>
    <row r="240" spans="1:23" s="10" customFormat="1" ht="17.25" customHeight="1" x14ac:dyDescent="0.2">
      <c r="A240" s="48"/>
      <c r="B240" s="77" t="s">
        <v>17</v>
      </c>
      <c r="C240" s="6" t="s">
        <v>109</v>
      </c>
      <c r="D240" s="74" t="s">
        <v>15</v>
      </c>
      <c r="E240" s="35"/>
      <c r="F240" s="32">
        <f>(1243.61+1243.61+3190.74+4350.22+294.24)/1000</f>
        <v>10.322419999999999</v>
      </c>
      <c r="G240" s="105"/>
      <c r="H240" s="106"/>
      <c r="I240" s="109"/>
      <c r="J240" s="108">
        <f t="shared" si="82"/>
        <v>0</v>
      </c>
      <c r="K240" s="108"/>
      <c r="L240" s="108"/>
      <c r="M240" s="106">
        <f t="shared" si="83"/>
        <v>0</v>
      </c>
      <c r="N240" s="129">
        <f>F240*1000/12.56*(0.12*2+0.08*2)</f>
        <v>328.73949044585993</v>
      </c>
    </row>
    <row r="241" spans="1:23" s="10" customFormat="1" ht="17.25" customHeight="1" x14ac:dyDescent="0.2">
      <c r="A241" s="48"/>
      <c r="B241" s="77" t="s">
        <v>17</v>
      </c>
      <c r="C241" s="6" t="s">
        <v>110</v>
      </c>
      <c r="D241" s="74" t="s">
        <v>15</v>
      </c>
      <c r="E241" s="35"/>
      <c r="F241" s="32">
        <f>(1999.82+996.42+992.44+479.26+875.9+791.08+706.25+540.66+459.89+379.5+298.73+217.96+137.19+56.43+502.31+542.14+544.72+623.64+627.33+731.7+733.91+857.83+863.73+1001.29+1007.19+1712.71+2897+167.43+512.34+435.67+1286.98)/1000</f>
        <v>23.979449999999993</v>
      </c>
      <c r="G241" s="105"/>
      <c r="H241" s="106"/>
      <c r="I241" s="109"/>
      <c r="J241" s="108">
        <f t="shared" si="82"/>
        <v>0</v>
      </c>
      <c r="K241" s="108"/>
      <c r="L241" s="108"/>
      <c r="M241" s="106">
        <f t="shared" si="83"/>
        <v>0</v>
      </c>
      <c r="N241" s="129">
        <f>F241*1000/10.05*0.08*4</f>
        <v>763.52477611940265</v>
      </c>
    </row>
    <row r="242" spans="1:23" s="10" customFormat="1" ht="27" customHeight="1" x14ac:dyDescent="0.2">
      <c r="A242" s="48"/>
      <c r="B242" s="77" t="s">
        <v>17</v>
      </c>
      <c r="C242" s="6" t="s">
        <v>111</v>
      </c>
      <c r="D242" s="74" t="s">
        <v>15</v>
      </c>
      <c r="E242" s="35"/>
      <c r="F242" s="32">
        <f>(170.41*20)/1000</f>
        <v>3.4081999999999999</v>
      </c>
      <c r="G242" s="105"/>
      <c r="H242" s="106"/>
      <c r="I242" s="109"/>
      <c r="J242" s="108">
        <f t="shared" si="82"/>
        <v>0</v>
      </c>
      <c r="K242" s="108"/>
      <c r="L242" s="108"/>
      <c r="M242" s="106">
        <f t="shared" si="83"/>
        <v>0</v>
      </c>
      <c r="N242" s="129">
        <f>F242*1000/78.52*2</f>
        <v>86.811003565970452</v>
      </c>
    </row>
    <row r="243" spans="1:23" s="10" customFormat="1" ht="27" customHeight="1" x14ac:dyDescent="0.2">
      <c r="A243" s="48"/>
      <c r="B243" s="77" t="s">
        <v>17</v>
      </c>
      <c r="C243" s="6" t="s">
        <v>112</v>
      </c>
      <c r="D243" s="74" t="s">
        <v>15</v>
      </c>
      <c r="E243" s="35"/>
      <c r="F243" s="32">
        <f>(11.74*20)/1000</f>
        <v>0.23480000000000001</v>
      </c>
      <c r="G243" s="105"/>
      <c r="H243" s="106"/>
      <c r="I243" s="109"/>
      <c r="J243" s="108">
        <f t="shared" si="82"/>
        <v>0</v>
      </c>
      <c r="K243" s="108"/>
      <c r="L243" s="108"/>
      <c r="M243" s="106">
        <f t="shared" si="83"/>
        <v>0</v>
      </c>
      <c r="N243" s="129">
        <f>F243*1000/78.52*2</f>
        <v>5.9806418746816101</v>
      </c>
    </row>
    <row r="244" spans="1:23" s="10" customFormat="1" ht="27" customHeight="1" x14ac:dyDescent="0.2">
      <c r="A244" s="48"/>
      <c r="B244" s="77" t="s">
        <v>17</v>
      </c>
      <c r="C244" s="6" t="s">
        <v>113</v>
      </c>
      <c r="D244" s="74" t="s">
        <v>15</v>
      </c>
      <c r="E244" s="35"/>
      <c r="F244" s="32">
        <f>(5.26*20)/1000</f>
        <v>0.10519999999999999</v>
      </c>
      <c r="G244" s="105"/>
      <c r="H244" s="106"/>
      <c r="I244" s="109"/>
      <c r="J244" s="108">
        <f t="shared" si="82"/>
        <v>0</v>
      </c>
      <c r="K244" s="108"/>
      <c r="L244" s="108"/>
      <c r="M244" s="106">
        <f t="shared" si="83"/>
        <v>0</v>
      </c>
      <c r="N244" s="129">
        <f>F244*1000/125.64*2</f>
        <v>1.6746259153135943</v>
      </c>
    </row>
    <row r="245" spans="1:23" s="10" customFormat="1" ht="27" customHeight="1" x14ac:dyDescent="0.2">
      <c r="A245" s="48"/>
      <c r="B245" s="77" t="s">
        <v>17</v>
      </c>
      <c r="C245" s="6" t="s">
        <v>117</v>
      </c>
      <c r="D245" s="74" t="s">
        <v>15</v>
      </c>
      <c r="E245" s="35"/>
      <c r="F245" s="32">
        <f>168.15/1000</f>
        <v>0.16814999999999999</v>
      </c>
      <c r="G245" s="105"/>
      <c r="H245" s="106"/>
      <c r="I245" s="109"/>
      <c r="J245" s="108">
        <f t="shared" si="82"/>
        <v>0</v>
      </c>
      <c r="K245" s="108"/>
      <c r="L245" s="108"/>
      <c r="M245" s="106">
        <f t="shared" si="83"/>
        <v>0</v>
      </c>
      <c r="N245" s="129">
        <f>F245*1000/78.52*2</f>
        <v>4.2829852266938362</v>
      </c>
    </row>
    <row r="246" spans="1:23" s="10" customFormat="1" ht="27" customHeight="1" x14ac:dyDescent="0.2">
      <c r="A246" s="48"/>
      <c r="B246" s="77" t="s">
        <v>17</v>
      </c>
      <c r="C246" s="6" t="s">
        <v>114</v>
      </c>
      <c r="D246" s="74" t="s">
        <v>15</v>
      </c>
      <c r="E246" s="35"/>
      <c r="F246" s="32">
        <f>343.44/1000</f>
        <v>0.34344000000000002</v>
      </c>
      <c r="G246" s="105"/>
      <c r="H246" s="106"/>
      <c r="I246" s="109"/>
      <c r="J246" s="108">
        <f t="shared" si="82"/>
        <v>0</v>
      </c>
      <c r="K246" s="108"/>
      <c r="L246" s="108"/>
      <c r="M246" s="106">
        <f t="shared" si="83"/>
        <v>0</v>
      </c>
      <c r="N246" s="129">
        <f>F246*1000/78.52*2</f>
        <v>8.7478349465104444</v>
      </c>
    </row>
    <row r="247" spans="1:23" s="10" customFormat="1" ht="18" customHeight="1" x14ac:dyDescent="0.2">
      <c r="A247" s="48"/>
      <c r="B247" s="77" t="s">
        <v>17</v>
      </c>
      <c r="C247" s="6" t="s">
        <v>115</v>
      </c>
      <c r="D247" s="74" t="s">
        <v>15</v>
      </c>
      <c r="E247" s="35"/>
      <c r="F247" s="32">
        <f>21621.6/1000</f>
        <v>21.621599999999997</v>
      </c>
      <c r="G247" s="105"/>
      <c r="H247" s="106"/>
      <c r="I247" s="109"/>
      <c r="J247" s="108">
        <f t="shared" si="82"/>
        <v>0</v>
      </c>
      <c r="K247" s="108"/>
      <c r="L247" s="108"/>
      <c r="M247" s="106">
        <f t="shared" si="83"/>
        <v>0</v>
      </c>
      <c r="N247" s="129">
        <f>F247*1000/14.2*(0.16*2+0.05*4)</f>
        <v>791.77690140845073</v>
      </c>
    </row>
    <row r="248" spans="1:23" s="10" customFormat="1" ht="18" customHeight="1" x14ac:dyDescent="0.2">
      <c r="A248" s="48"/>
      <c r="B248" s="77" t="s">
        <v>17</v>
      </c>
      <c r="C248" s="6" t="s">
        <v>116</v>
      </c>
      <c r="D248" s="74" t="s">
        <v>15</v>
      </c>
      <c r="E248" s="35"/>
      <c r="F248" s="32">
        <f>(2951.04+407.05)/1000</f>
        <v>3.3580900000000002</v>
      </c>
      <c r="G248" s="105"/>
      <c r="H248" s="106"/>
      <c r="I248" s="109"/>
      <c r="J248" s="108">
        <f t="shared" si="82"/>
        <v>0</v>
      </c>
      <c r="K248" s="108"/>
      <c r="L248" s="108"/>
      <c r="M248" s="106">
        <f t="shared" si="83"/>
        <v>0</v>
      </c>
      <c r="N248" s="129">
        <f>F248*1000/4.84*(0.05*2+0.032*4)</f>
        <v>158.19101652892564</v>
      </c>
    </row>
    <row r="249" spans="1:23" s="10" customFormat="1" ht="18" customHeight="1" x14ac:dyDescent="0.2">
      <c r="A249" s="42"/>
      <c r="B249" s="77" t="s">
        <v>17</v>
      </c>
      <c r="C249" s="6" t="s">
        <v>32</v>
      </c>
      <c r="D249" s="45" t="s">
        <v>15</v>
      </c>
      <c r="E249" s="46"/>
      <c r="F249" s="46">
        <f>162.26/1000</f>
        <v>0.16225999999999999</v>
      </c>
      <c r="G249" s="116"/>
      <c r="H249" s="117"/>
      <c r="I249" s="109">
        <f>I204</f>
        <v>2603.3898305084749</v>
      </c>
      <c r="J249" s="108">
        <f t="shared" si="82"/>
        <v>422.42603389830509</v>
      </c>
      <c r="K249" s="98"/>
      <c r="L249" s="98"/>
      <c r="M249" s="106">
        <f t="shared" si="83"/>
        <v>422.42603389830509</v>
      </c>
    </row>
    <row r="250" spans="1:23" s="84" customFormat="1" ht="18" customHeight="1" x14ac:dyDescent="0.25">
      <c r="A250" s="13"/>
      <c r="B250" s="77" t="s">
        <v>17</v>
      </c>
      <c r="C250" s="57" t="s">
        <v>73</v>
      </c>
      <c r="D250" s="81" t="s">
        <v>69</v>
      </c>
      <c r="E250" s="82"/>
      <c r="F250" s="79">
        <f>F235*1000*0.5%</f>
        <v>445.4058</v>
      </c>
      <c r="G250" s="111"/>
      <c r="H250" s="112"/>
      <c r="I250" s="112">
        <v>6</v>
      </c>
      <c r="J250" s="112">
        <f t="shared" ref="J250:J251" si="84">F250*I250</f>
        <v>2672.4348</v>
      </c>
      <c r="K250" s="112"/>
      <c r="L250" s="112"/>
      <c r="M250" s="98">
        <f t="shared" si="81"/>
        <v>2672.4348</v>
      </c>
      <c r="N250" s="83"/>
      <c r="O250" s="83"/>
      <c r="P250" s="83"/>
      <c r="Q250" s="83"/>
      <c r="R250" s="83"/>
      <c r="S250" s="83"/>
      <c r="T250" s="83"/>
      <c r="U250" s="83"/>
      <c r="V250" s="83"/>
      <c r="W250" s="83"/>
    </row>
    <row r="251" spans="1:23" s="97" customFormat="1" ht="18" customHeight="1" x14ac:dyDescent="0.2">
      <c r="A251" s="42"/>
      <c r="B251" s="77"/>
      <c r="C251" s="44" t="s">
        <v>107</v>
      </c>
      <c r="D251" s="78" t="s">
        <v>7</v>
      </c>
      <c r="E251" s="79">
        <v>2.78</v>
      </c>
      <c r="F251" s="79">
        <f>E251*F235</f>
        <v>247.64562479999998</v>
      </c>
      <c r="G251" s="98"/>
      <c r="H251" s="98"/>
      <c r="I251" s="98">
        <v>4</v>
      </c>
      <c r="J251" s="98">
        <f t="shared" si="84"/>
        <v>990.58249919999992</v>
      </c>
      <c r="K251" s="98"/>
      <c r="L251" s="98"/>
      <c r="M251" s="98">
        <f t="shared" si="81"/>
        <v>990.58249919999992</v>
      </c>
    </row>
    <row r="252" spans="1:23" s="10" customFormat="1" ht="15" customHeight="1" x14ac:dyDescent="0.2">
      <c r="A252" s="48"/>
      <c r="B252" s="31"/>
      <c r="C252" s="11"/>
      <c r="D252" s="65"/>
      <c r="E252" s="32"/>
      <c r="F252" s="8"/>
      <c r="G252" s="105"/>
      <c r="H252" s="106"/>
      <c r="I252" s="109"/>
      <c r="J252" s="108"/>
      <c r="K252" s="108"/>
      <c r="L252" s="108"/>
      <c r="M252" s="106"/>
    </row>
    <row r="253" spans="1:23" s="12" customFormat="1" ht="33.75" customHeight="1" x14ac:dyDescent="0.25">
      <c r="A253" s="42">
        <v>2.2999999999999998</v>
      </c>
      <c r="B253" s="37" t="s">
        <v>129</v>
      </c>
      <c r="C253" s="28" t="s">
        <v>128</v>
      </c>
      <c r="D253" s="40" t="s">
        <v>4</v>
      </c>
      <c r="E253" s="41"/>
      <c r="F253" s="34">
        <v>3850.39</v>
      </c>
      <c r="G253" s="113"/>
      <c r="H253" s="113"/>
      <c r="I253" s="102"/>
      <c r="J253" s="114"/>
      <c r="K253" s="114"/>
      <c r="L253" s="114"/>
      <c r="M253" s="115"/>
      <c r="N253" s="130">
        <f>SUM(N222:N252)</f>
        <v>3850.3940530502769</v>
      </c>
    </row>
    <row r="254" spans="1:23" s="10" customFormat="1" ht="21.75" customHeight="1" x14ac:dyDescent="0.2">
      <c r="A254" s="42"/>
      <c r="B254" s="43" t="s">
        <v>25</v>
      </c>
      <c r="C254" s="44" t="s">
        <v>36</v>
      </c>
      <c r="D254" s="45" t="s">
        <v>4</v>
      </c>
      <c r="E254" s="46">
        <v>1</v>
      </c>
      <c r="F254" s="47">
        <f>F253*E254</f>
        <v>3850.39</v>
      </c>
      <c r="G254" s="116">
        <f>4/0.8</f>
        <v>5</v>
      </c>
      <c r="H254" s="117">
        <f>F254*G254</f>
        <v>19251.95</v>
      </c>
      <c r="I254" s="107"/>
      <c r="J254" s="98"/>
      <c r="K254" s="98"/>
      <c r="L254" s="98"/>
      <c r="M254" s="117">
        <f>H254+J254</f>
        <v>19251.95</v>
      </c>
    </row>
    <row r="255" spans="1:23" s="80" customFormat="1" ht="18" customHeight="1" x14ac:dyDescent="0.25">
      <c r="A255" s="76"/>
      <c r="B255" s="77" t="s">
        <v>17</v>
      </c>
      <c r="C255" s="44" t="s">
        <v>55</v>
      </c>
      <c r="D255" s="78" t="s">
        <v>7</v>
      </c>
      <c r="E255" s="128">
        <f>0.16/100</f>
        <v>1.6000000000000001E-3</v>
      </c>
      <c r="F255" s="79">
        <f>E255*F253</f>
        <v>6.1606240000000003</v>
      </c>
      <c r="G255" s="110"/>
      <c r="H255" s="98"/>
      <c r="I255" s="98"/>
      <c r="J255" s="98"/>
      <c r="K255" s="98">
        <v>4</v>
      </c>
      <c r="L255" s="98">
        <f>F255*K255</f>
        <v>24.642496000000001</v>
      </c>
      <c r="M255" s="98">
        <f t="shared" ref="M255" si="85">H255+J255+L255</f>
        <v>24.642496000000001</v>
      </c>
    </row>
    <row r="256" spans="1:23" s="10" customFormat="1" ht="19.5" customHeight="1" x14ac:dyDescent="0.2">
      <c r="A256" s="42"/>
      <c r="B256" s="43" t="s">
        <v>17</v>
      </c>
      <c r="C256" s="44" t="s">
        <v>124</v>
      </c>
      <c r="D256" s="45" t="s">
        <v>69</v>
      </c>
      <c r="E256" s="88">
        <v>0.16600000000000001</v>
      </c>
      <c r="F256" s="46">
        <f>E256*F253</f>
        <v>639.16474000000005</v>
      </c>
      <c r="G256" s="116"/>
      <c r="H256" s="117"/>
      <c r="I256" s="120">
        <v>10</v>
      </c>
      <c r="J256" s="98">
        <f t="shared" ref="J256" si="86">I256*F256</f>
        <v>6391.6474000000007</v>
      </c>
      <c r="K256" s="98"/>
      <c r="L256" s="98"/>
      <c r="M256" s="117">
        <f>H256+J256</f>
        <v>6391.6474000000007</v>
      </c>
    </row>
    <row r="257" spans="1:13" s="10" customFormat="1" ht="19.5" customHeight="1" x14ac:dyDescent="0.2">
      <c r="A257" s="42"/>
      <c r="B257" s="43" t="s">
        <v>17</v>
      </c>
      <c r="C257" s="44" t="s">
        <v>130</v>
      </c>
      <c r="D257" s="45" t="s">
        <v>131</v>
      </c>
      <c r="E257" s="88">
        <f>2.4/100</f>
        <v>2.4E-2</v>
      </c>
      <c r="F257" s="46">
        <f>E257*F254</f>
        <v>92.409359999999992</v>
      </c>
      <c r="G257" s="116"/>
      <c r="H257" s="117"/>
      <c r="I257" s="120">
        <v>6</v>
      </c>
      <c r="J257" s="98">
        <f t="shared" ref="J257" si="87">I257*F257</f>
        <v>554.45615999999995</v>
      </c>
      <c r="K257" s="98"/>
      <c r="L257" s="98"/>
      <c r="M257" s="117">
        <f>H257+J257</f>
        <v>554.45615999999995</v>
      </c>
    </row>
    <row r="258" spans="1:13" s="84" customFormat="1" ht="18" customHeight="1" x14ac:dyDescent="0.25">
      <c r="A258" s="13"/>
      <c r="B258" s="77"/>
      <c r="C258" s="57"/>
      <c r="D258" s="81"/>
      <c r="E258" s="82"/>
      <c r="F258" s="79"/>
      <c r="G258" s="111"/>
      <c r="H258" s="112"/>
      <c r="I258" s="112"/>
      <c r="J258" s="112"/>
      <c r="K258" s="112"/>
      <c r="L258" s="112"/>
      <c r="M258" s="98"/>
    </row>
    <row r="259" spans="1:13" s="180" customFormat="1" ht="45.75" customHeight="1" x14ac:dyDescent="0.3">
      <c r="A259" s="173">
        <v>2.5</v>
      </c>
      <c r="B259" s="174" t="s">
        <v>160</v>
      </c>
      <c r="C259" s="175" t="s">
        <v>159</v>
      </c>
      <c r="D259" s="176" t="s">
        <v>161</v>
      </c>
      <c r="E259" s="177"/>
      <c r="F259" s="34">
        <f>745.3*0.3</f>
        <v>223.58999999999997</v>
      </c>
      <c r="G259" s="178"/>
      <c r="H259" s="178"/>
      <c r="I259" s="178"/>
      <c r="J259" s="178"/>
      <c r="K259" s="178"/>
      <c r="L259" s="179"/>
      <c r="M259" s="179"/>
    </row>
    <row r="260" spans="1:13" s="185" customFormat="1" ht="18.75" customHeight="1" x14ac:dyDescent="0.25">
      <c r="A260" s="173"/>
      <c r="B260" s="181"/>
      <c r="C260" s="182" t="s">
        <v>162</v>
      </c>
      <c r="D260" s="183" t="s">
        <v>154</v>
      </c>
      <c r="E260" s="177">
        <f>E265</f>
        <v>41.38</v>
      </c>
      <c r="F260" s="184">
        <f>F259*E260</f>
        <v>9252.154199999999</v>
      </c>
      <c r="G260" s="178">
        <v>0.8</v>
      </c>
      <c r="H260" s="178">
        <f>G260*F260</f>
        <v>7401.72336</v>
      </c>
      <c r="I260" s="178"/>
      <c r="J260" s="178"/>
      <c r="K260" s="178"/>
      <c r="L260" s="178"/>
      <c r="M260" s="179">
        <f t="shared" ref="M260:M261" si="88">L260+J260+H260</f>
        <v>7401.72336</v>
      </c>
    </row>
    <row r="261" spans="1:13" s="186" customFormat="1" ht="18.75" customHeight="1" x14ac:dyDescent="0.3">
      <c r="A261" s="173"/>
      <c r="B261" s="181"/>
      <c r="C261" s="182" t="s">
        <v>163</v>
      </c>
      <c r="D261" s="183" t="s">
        <v>150</v>
      </c>
      <c r="E261" s="177">
        <v>0.92</v>
      </c>
      <c r="F261" s="184">
        <f>F259*E261</f>
        <v>205.7028</v>
      </c>
      <c r="G261" s="178"/>
      <c r="H261" s="178"/>
      <c r="I261" s="178"/>
      <c r="J261" s="178"/>
      <c r="K261" s="178">
        <v>4</v>
      </c>
      <c r="L261" s="178">
        <f>K261*F261</f>
        <v>822.81119999999999</v>
      </c>
      <c r="M261" s="179">
        <f t="shared" si="88"/>
        <v>822.81119999999999</v>
      </c>
    </row>
    <row r="262" spans="1:13" s="186" customFormat="1" ht="18.75" customHeight="1" x14ac:dyDescent="0.3">
      <c r="A262" s="173"/>
      <c r="B262" s="174" t="s">
        <v>164</v>
      </c>
      <c r="C262" s="175" t="s">
        <v>165</v>
      </c>
      <c r="D262" s="187" t="s">
        <v>161</v>
      </c>
      <c r="E262" s="177">
        <v>0.11</v>
      </c>
      <c r="F262" s="184">
        <f>F259*E262</f>
        <v>24.594899999999999</v>
      </c>
      <c r="G262" s="178"/>
      <c r="H262" s="178"/>
      <c r="I262" s="178"/>
      <c r="J262" s="178"/>
      <c r="K262" s="178"/>
      <c r="L262" s="178"/>
      <c r="M262" s="179"/>
    </row>
    <row r="263" spans="1:13" s="185" customFormat="1" ht="18.75" customHeight="1" x14ac:dyDescent="0.25">
      <c r="A263" s="173"/>
      <c r="B263" s="188"/>
      <c r="C263" s="182" t="s">
        <v>166</v>
      </c>
      <c r="D263" s="189" t="s">
        <v>167</v>
      </c>
      <c r="E263" s="177">
        <v>1.21</v>
      </c>
      <c r="F263" s="184">
        <f>F262*E263</f>
        <v>29.759828999999996</v>
      </c>
      <c r="G263" s="178"/>
      <c r="H263" s="178"/>
      <c r="I263" s="178">
        <v>0</v>
      </c>
      <c r="J263" s="178">
        <f>I263*F263</f>
        <v>0</v>
      </c>
      <c r="K263" s="178"/>
      <c r="L263" s="178"/>
      <c r="M263" s="179">
        <f t="shared" ref="M263:M267" si="89">L263+J263+H263</f>
        <v>0</v>
      </c>
    </row>
    <row r="264" spans="1:13" s="185" customFormat="1" ht="18.75" customHeight="1" x14ac:dyDescent="0.25">
      <c r="A264" s="173"/>
      <c r="B264" s="188"/>
      <c r="C264" s="182" t="s">
        <v>168</v>
      </c>
      <c r="D264" s="189" t="s">
        <v>169</v>
      </c>
      <c r="E264" s="177">
        <v>0.31900000000000001</v>
      </c>
      <c r="F264" s="184">
        <f>F262*E264</f>
        <v>7.8457730999999997</v>
      </c>
      <c r="G264" s="178"/>
      <c r="H264" s="178"/>
      <c r="I264" s="178">
        <f>I252</f>
        <v>0</v>
      </c>
      <c r="J264" s="178">
        <f>I264*F264</f>
        <v>0</v>
      </c>
      <c r="K264" s="178"/>
      <c r="L264" s="178"/>
      <c r="M264" s="179">
        <f t="shared" si="89"/>
        <v>0</v>
      </c>
    </row>
    <row r="265" spans="1:13" s="186" customFormat="1" ht="18.75" customHeight="1" x14ac:dyDescent="0.3">
      <c r="A265" s="173"/>
      <c r="B265" s="188"/>
      <c r="C265" s="182" t="s">
        <v>170</v>
      </c>
      <c r="D265" s="183" t="s">
        <v>154</v>
      </c>
      <c r="E265" s="177">
        <v>41.38</v>
      </c>
      <c r="F265" s="184">
        <f>E265*F259</f>
        <v>9252.154199999999</v>
      </c>
      <c r="G265" s="178"/>
      <c r="H265" s="178"/>
      <c r="I265" s="178">
        <f t="shared" ref="I265:I266" si="90">I253</f>
        <v>0</v>
      </c>
      <c r="J265" s="178">
        <f>I265*F265</f>
        <v>0</v>
      </c>
      <c r="K265" s="178"/>
      <c r="L265" s="178"/>
      <c r="M265" s="179">
        <f t="shared" si="89"/>
        <v>0</v>
      </c>
    </row>
    <row r="266" spans="1:13" s="186" customFormat="1" ht="18.75" customHeight="1" x14ac:dyDescent="0.3">
      <c r="A266" s="173"/>
      <c r="B266" s="188"/>
      <c r="C266" s="182" t="s">
        <v>171</v>
      </c>
      <c r="D266" s="183" t="s">
        <v>169</v>
      </c>
      <c r="E266" s="177">
        <f>12/(7.2*3.6*0.3)*0.39/1000</f>
        <v>6.018518518518519E-4</v>
      </c>
      <c r="F266" s="184">
        <f>E266*F259</f>
        <v>0.13456805555555554</v>
      </c>
      <c r="G266" s="178"/>
      <c r="H266" s="178"/>
      <c r="I266" s="178">
        <f t="shared" si="90"/>
        <v>0</v>
      </c>
      <c r="J266" s="178">
        <f>I266*F266</f>
        <v>0</v>
      </c>
      <c r="K266" s="178"/>
      <c r="L266" s="178"/>
      <c r="M266" s="179">
        <f t="shared" si="89"/>
        <v>0</v>
      </c>
    </row>
    <row r="267" spans="1:13" s="190" customFormat="1" ht="18.75" customHeight="1" x14ac:dyDescent="0.3">
      <c r="A267" s="173"/>
      <c r="B267" s="181"/>
      <c r="C267" s="182" t="s">
        <v>172</v>
      </c>
      <c r="D267" s="183" t="s">
        <v>150</v>
      </c>
      <c r="E267" s="177">
        <v>0.16</v>
      </c>
      <c r="F267" s="184">
        <f>F259*E267</f>
        <v>35.7744</v>
      </c>
      <c r="G267" s="178"/>
      <c r="H267" s="178"/>
      <c r="I267" s="178">
        <v>4</v>
      </c>
      <c r="J267" s="178">
        <f>I267*F267</f>
        <v>143.0976</v>
      </c>
      <c r="K267" s="178"/>
      <c r="L267" s="179"/>
      <c r="M267" s="179">
        <f t="shared" si="89"/>
        <v>143.0976</v>
      </c>
    </row>
    <row r="268" spans="1:13" s="84" customFormat="1" ht="18" customHeight="1" x14ac:dyDescent="0.25">
      <c r="A268" s="13"/>
      <c r="B268" s="77"/>
      <c r="C268" s="57"/>
      <c r="D268" s="81"/>
      <c r="E268" s="82"/>
      <c r="F268" s="79"/>
      <c r="G268" s="111"/>
      <c r="H268" s="112"/>
      <c r="I268" s="112"/>
      <c r="J268" s="112"/>
      <c r="K268" s="112"/>
      <c r="L268" s="112"/>
      <c r="M268" s="98"/>
    </row>
    <row r="269" spans="1:13" s="12" customFormat="1" ht="24.75" customHeight="1" x14ac:dyDescent="0.25">
      <c r="A269" s="42">
        <v>2.6</v>
      </c>
      <c r="B269" s="37" t="s">
        <v>25</v>
      </c>
      <c r="C269" s="28" t="s">
        <v>125</v>
      </c>
      <c r="D269" s="40" t="s">
        <v>4</v>
      </c>
      <c r="E269" s="41"/>
      <c r="F269" s="34">
        <v>715.6</v>
      </c>
      <c r="G269" s="113"/>
      <c r="H269" s="113"/>
      <c r="I269" s="102"/>
      <c r="J269" s="114"/>
      <c r="K269" s="114"/>
      <c r="L269" s="114"/>
      <c r="M269" s="115"/>
    </row>
    <row r="270" spans="1:13" s="10" customFormat="1" ht="18.75" customHeight="1" x14ac:dyDescent="0.2">
      <c r="A270" s="42"/>
      <c r="B270" s="43" t="s">
        <v>17</v>
      </c>
      <c r="C270" s="44" t="s">
        <v>36</v>
      </c>
      <c r="D270" s="45" t="s">
        <v>4</v>
      </c>
      <c r="E270" s="46">
        <v>1</v>
      </c>
      <c r="F270" s="47">
        <f>F269*E270</f>
        <v>715.6</v>
      </c>
      <c r="G270" s="116">
        <v>0</v>
      </c>
      <c r="H270" s="117">
        <f>F270*G270</f>
        <v>0</v>
      </c>
      <c r="I270" s="107"/>
      <c r="J270" s="98"/>
      <c r="K270" s="98"/>
      <c r="L270" s="98"/>
      <c r="M270" s="117">
        <f>H270+J270</f>
        <v>0</v>
      </c>
    </row>
    <row r="271" spans="1:13" s="80" customFormat="1" ht="18.75" customHeight="1" x14ac:dyDescent="0.25">
      <c r="A271" s="76"/>
      <c r="B271" s="43" t="s">
        <v>17</v>
      </c>
      <c r="C271" s="44" t="s">
        <v>100</v>
      </c>
      <c r="D271" s="42" t="s">
        <v>54</v>
      </c>
      <c r="E271" s="79">
        <f>(5.12+4.37+2+0.75)/100</f>
        <v>0.12240000000000001</v>
      </c>
      <c r="F271" s="79">
        <f>E271*F269</f>
        <v>87.58944000000001</v>
      </c>
      <c r="G271" s="110"/>
      <c r="H271" s="98"/>
      <c r="I271" s="98"/>
      <c r="J271" s="98"/>
      <c r="K271" s="98">
        <f>K220</f>
        <v>38.380000000000003</v>
      </c>
      <c r="L271" s="98">
        <f>F271*K271</f>
        <v>3361.6827072000006</v>
      </c>
      <c r="M271" s="98">
        <f t="shared" ref="M271" si="91">H271+J271+L271</f>
        <v>3361.6827072000006</v>
      </c>
    </row>
    <row r="272" spans="1:13" s="10" customFormat="1" ht="18.75" customHeight="1" x14ac:dyDescent="0.2">
      <c r="A272" s="42"/>
      <c r="B272" s="43" t="s">
        <v>17</v>
      </c>
      <c r="C272" s="44" t="s">
        <v>55</v>
      </c>
      <c r="D272" s="78" t="s">
        <v>7</v>
      </c>
      <c r="E272" s="128">
        <v>0.97799999999999998</v>
      </c>
      <c r="F272" s="79">
        <f>E272*F269</f>
        <v>699.85680000000002</v>
      </c>
      <c r="G272" s="110"/>
      <c r="H272" s="98"/>
      <c r="I272" s="98"/>
      <c r="J272" s="98"/>
      <c r="K272" s="98">
        <v>4</v>
      </c>
      <c r="L272" s="98">
        <f>F272*K272</f>
        <v>2799.4272000000001</v>
      </c>
      <c r="M272" s="98">
        <f t="shared" ref="M272" si="92">H272+J272+L272</f>
        <v>2799.4272000000001</v>
      </c>
    </row>
    <row r="273" spans="1:40" s="10" customFormat="1" ht="18.75" customHeight="1" x14ac:dyDescent="0.2">
      <c r="A273" s="42"/>
      <c r="B273" s="43" t="s">
        <v>17</v>
      </c>
      <c r="C273" s="44" t="s">
        <v>126</v>
      </c>
      <c r="D273" s="45" t="s">
        <v>4</v>
      </c>
      <c r="E273" s="88">
        <v>1</v>
      </c>
      <c r="F273" s="46">
        <f>E273*F269</f>
        <v>715.6</v>
      </c>
      <c r="G273" s="116"/>
      <c r="H273" s="117"/>
      <c r="I273" s="120">
        <v>0</v>
      </c>
      <c r="J273" s="98">
        <f t="shared" ref="J273" si="93">I273*F273</f>
        <v>0</v>
      </c>
      <c r="K273" s="98"/>
      <c r="L273" s="98"/>
      <c r="M273" s="117">
        <f>H273+J273</f>
        <v>0</v>
      </c>
    </row>
    <row r="274" spans="1:40" s="97" customFormat="1" ht="18.75" customHeight="1" x14ac:dyDescent="0.2">
      <c r="A274" s="42"/>
      <c r="B274" s="43" t="s">
        <v>17</v>
      </c>
      <c r="C274" s="44" t="s">
        <v>107</v>
      </c>
      <c r="D274" s="78" t="s">
        <v>7</v>
      </c>
      <c r="E274" s="79">
        <f>5.56/100</f>
        <v>5.5599999999999997E-2</v>
      </c>
      <c r="F274" s="79">
        <f>E274*F269</f>
        <v>39.78736</v>
      </c>
      <c r="G274" s="98"/>
      <c r="H274" s="98"/>
      <c r="I274" s="98">
        <v>4</v>
      </c>
      <c r="J274" s="98">
        <f t="shared" ref="J274" si="94">F274*I274</f>
        <v>159.14944</v>
      </c>
      <c r="K274" s="98"/>
      <c r="L274" s="98"/>
      <c r="M274" s="98">
        <f t="shared" ref="M274" si="95">H274+J274+L274</f>
        <v>159.14944</v>
      </c>
    </row>
    <row r="275" spans="1:40" s="84" customFormat="1" ht="18" customHeight="1" x14ac:dyDescent="0.25">
      <c r="A275" s="13"/>
      <c r="B275" s="77"/>
      <c r="C275" s="57"/>
      <c r="D275" s="81"/>
      <c r="E275" s="82"/>
      <c r="F275" s="79"/>
      <c r="G275" s="111"/>
      <c r="H275" s="112"/>
      <c r="I275" s="112"/>
      <c r="J275" s="112"/>
      <c r="K275" s="112"/>
      <c r="L275" s="112"/>
      <c r="M275" s="98"/>
    </row>
    <row r="276" spans="1:40" s="12" customFormat="1" ht="40.5" customHeight="1" x14ac:dyDescent="0.25">
      <c r="A276" s="42">
        <v>2.7</v>
      </c>
      <c r="B276" s="37" t="s">
        <v>25</v>
      </c>
      <c r="C276" s="28" t="s">
        <v>143</v>
      </c>
      <c r="D276" s="40" t="s">
        <v>4</v>
      </c>
      <c r="E276" s="41"/>
      <c r="F276" s="34">
        <v>4086.3</v>
      </c>
      <c r="G276" s="113"/>
      <c r="H276" s="113"/>
      <c r="I276" s="102"/>
      <c r="J276" s="114"/>
      <c r="K276" s="114"/>
      <c r="L276" s="114"/>
      <c r="M276" s="115"/>
    </row>
    <row r="277" spans="1:40" s="10" customFormat="1" ht="18.75" customHeight="1" x14ac:dyDescent="0.2">
      <c r="A277" s="42"/>
      <c r="B277" s="43" t="s">
        <v>17</v>
      </c>
      <c r="C277" s="44" t="s">
        <v>36</v>
      </c>
      <c r="D277" s="45" t="s">
        <v>4</v>
      </c>
      <c r="E277" s="46">
        <v>1</v>
      </c>
      <c r="F277" s="47">
        <f>F276*E277</f>
        <v>4086.3</v>
      </c>
      <c r="G277" s="116">
        <v>0</v>
      </c>
      <c r="H277" s="117">
        <f>F277*G277</f>
        <v>0</v>
      </c>
      <c r="I277" s="107"/>
      <c r="J277" s="98"/>
      <c r="K277" s="98"/>
      <c r="L277" s="98"/>
      <c r="M277" s="117">
        <f>H277+J277</f>
        <v>0</v>
      </c>
    </row>
    <row r="278" spans="1:40" s="80" customFormat="1" ht="18.75" customHeight="1" x14ac:dyDescent="0.25">
      <c r="A278" s="76"/>
      <c r="B278" s="43" t="s">
        <v>17</v>
      </c>
      <c r="C278" s="44" t="s">
        <v>100</v>
      </c>
      <c r="D278" s="42" t="s">
        <v>54</v>
      </c>
      <c r="E278" s="79">
        <f>(2.12+0.6+1.38)/100</f>
        <v>4.0999999999999995E-2</v>
      </c>
      <c r="F278" s="79">
        <f>E278*F276</f>
        <v>167.53829999999999</v>
      </c>
      <c r="G278" s="110"/>
      <c r="H278" s="98"/>
      <c r="I278" s="98"/>
      <c r="J278" s="98"/>
      <c r="K278" s="98">
        <f>K234</f>
        <v>0</v>
      </c>
      <c r="L278" s="98">
        <f>F278*K278</f>
        <v>0</v>
      </c>
      <c r="M278" s="98">
        <f t="shared" ref="M278:M279" si="96">H278+J278+L278</f>
        <v>0</v>
      </c>
    </row>
    <row r="279" spans="1:40" s="10" customFormat="1" ht="18.75" customHeight="1" x14ac:dyDescent="0.2">
      <c r="A279" s="42"/>
      <c r="B279" s="43" t="s">
        <v>17</v>
      </c>
      <c r="C279" s="44" t="s">
        <v>55</v>
      </c>
      <c r="D279" s="78" t="s">
        <v>7</v>
      </c>
      <c r="E279" s="79">
        <v>4.67</v>
      </c>
      <c r="F279" s="132">
        <f>E279*F276</f>
        <v>19083.021000000001</v>
      </c>
      <c r="G279" s="110"/>
      <c r="H279" s="98"/>
      <c r="I279" s="98"/>
      <c r="J279" s="98"/>
      <c r="K279" s="98">
        <v>4</v>
      </c>
      <c r="L279" s="98">
        <f>F279*K279</f>
        <v>76332.084000000003</v>
      </c>
      <c r="M279" s="98">
        <f t="shared" si="96"/>
        <v>76332.084000000003</v>
      </c>
    </row>
    <row r="280" spans="1:40" s="10" customFormat="1" ht="18.75" customHeight="1" x14ac:dyDescent="0.2">
      <c r="A280" s="42"/>
      <c r="B280" s="43" t="s">
        <v>17</v>
      </c>
      <c r="C280" s="44" t="s">
        <v>126</v>
      </c>
      <c r="D280" s="45" t="s">
        <v>4</v>
      </c>
      <c r="E280" s="88">
        <v>1</v>
      </c>
      <c r="F280" s="46">
        <f>E280*F276</f>
        <v>4086.3</v>
      </c>
      <c r="G280" s="116"/>
      <c r="H280" s="117"/>
      <c r="I280" s="120">
        <v>0</v>
      </c>
      <c r="J280" s="98">
        <f t="shared" ref="J280" si="97">I280*F280</f>
        <v>0</v>
      </c>
      <c r="K280" s="98"/>
      <c r="L280" s="98"/>
      <c r="M280" s="117">
        <f>H280+J280</f>
        <v>0</v>
      </c>
    </row>
    <row r="281" spans="1:40" s="97" customFormat="1" ht="18.75" customHeight="1" x14ac:dyDescent="0.2">
      <c r="A281" s="42"/>
      <c r="B281" s="43" t="s">
        <v>17</v>
      </c>
      <c r="C281" s="44" t="s">
        <v>107</v>
      </c>
      <c r="D281" s="78" t="s">
        <v>7</v>
      </c>
      <c r="E281" s="79">
        <f>4.67/100</f>
        <v>4.6699999999999998E-2</v>
      </c>
      <c r="F281" s="79">
        <f>E281*F276</f>
        <v>190.83020999999999</v>
      </c>
      <c r="G281" s="98"/>
      <c r="H281" s="98"/>
      <c r="I281" s="98">
        <v>4</v>
      </c>
      <c r="J281" s="98">
        <f t="shared" ref="J281" si="98">F281*I281</f>
        <v>763.32083999999998</v>
      </c>
      <c r="K281" s="98"/>
      <c r="L281" s="98"/>
      <c r="M281" s="98">
        <f t="shared" ref="M281" si="99">H281+J281+L281</f>
        <v>763.32083999999998</v>
      </c>
    </row>
    <row r="282" spans="1:40" s="84" customFormat="1" ht="18" customHeight="1" x14ac:dyDescent="0.25">
      <c r="A282" s="13"/>
      <c r="B282" s="77"/>
      <c r="C282" s="57"/>
      <c r="D282" s="81"/>
      <c r="E282" s="82"/>
      <c r="F282" s="79"/>
      <c r="G282" s="111"/>
      <c r="H282" s="112"/>
      <c r="I282" s="112"/>
      <c r="J282" s="112"/>
      <c r="K282" s="112"/>
      <c r="L282" s="112"/>
      <c r="M282" s="98"/>
    </row>
    <row r="283" spans="1:40" s="146" customFormat="1" ht="45.75" customHeight="1" x14ac:dyDescent="0.2">
      <c r="A283" s="140">
        <v>2.8</v>
      </c>
      <c r="B283" s="141" t="s">
        <v>144</v>
      </c>
      <c r="C283" s="28" t="s">
        <v>155</v>
      </c>
      <c r="D283" s="142" t="s">
        <v>145</v>
      </c>
      <c r="E283" s="143"/>
      <c r="F283" s="144">
        <f>754/100</f>
        <v>7.54</v>
      </c>
      <c r="G283" s="145"/>
      <c r="H283" s="145"/>
      <c r="I283" s="145"/>
      <c r="J283" s="145"/>
      <c r="K283" s="145"/>
      <c r="L283" s="145"/>
      <c r="M283" s="145"/>
    </row>
    <row r="284" spans="1:40" s="156" customFormat="1" ht="20.25" customHeight="1" x14ac:dyDescent="0.25">
      <c r="A284" s="149"/>
      <c r="B284" s="150" t="s">
        <v>146</v>
      </c>
      <c r="C284" s="44" t="s">
        <v>36</v>
      </c>
      <c r="D284" s="152" t="s">
        <v>4</v>
      </c>
      <c r="E284" s="147">
        <v>100</v>
      </c>
      <c r="F284" s="153">
        <f>E284*F283</f>
        <v>754</v>
      </c>
      <c r="G284" s="154">
        <f>8/0.8</f>
        <v>10</v>
      </c>
      <c r="H284" s="148">
        <f>F284*G284</f>
        <v>7540</v>
      </c>
      <c r="I284" s="148"/>
      <c r="J284" s="148"/>
      <c r="K284" s="148"/>
      <c r="L284" s="148"/>
      <c r="M284" s="155">
        <f>H284+J284+L284</f>
        <v>7540</v>
      </c>
    </row>
    <row r="285" spans="1:40" s="160" customFormat="1" ht="16.5" customHeight="1" x14ac:dyDescent="0.25">
      <c r="A285" s="157"/>
      <c r="B285" s="158" t="s">
        <v>147</v>
      </c>
      <c r="C285" s="44" t="s">
        <v>100</v>
      </c>
      <c r="D285" s="152" t="s">
        <v>148</v>
      </c>
      <c r="E285" s="147">
        <v>0.28999999999999998</v>
      </c>
      <c r="F285" s="147">
        <f>E285*F283</f>
        <v>2.1865999999999999</v>
      </c>
      <c r="G285" s="159"/>
      <c r="H285" s="148"/>
      <c r="I285" s="148"/>
      <c r="J285" s="148"/>
      <c r="K285" s="148">
        <f>K237</f>
        <v>38.380000000000003</v>
      </c>
      <c r="L285" s="148">
        <f>F285*K285</f>
        <v>83.921707999999995</v>
      </c>
      <c r="M285" s="148">
        <f>H285+J285+L285</f>
        <v>83.921707999999995</v>
      </c>
    </row>
    <row r="286" spans="1:40" s="160" customFormat="1" ht="16.5" customHeight="1" x14ac:dyDescent="0.25">
      <c r="A286" s="157"/>
      <c r="B286" s="158" t="s">
        <v>149</v>
      </c>
      <c r="C286" s="151" t="s">
        <v>156</v>
      </c>
      <c r="D286" s="152" t="s">
        <v>150</v>
      </c>
      <c r="E286" s="147">
        <v>2.41</v>
      </c>
      <c r="F286" s="147">
        <f>E286*F283</f>
        <v>18.171400000000002</v>
      </c>
      <c r="G286" s="159"/>
      <c r="H286" s="148"/>
      <c r="I286" s="148"/>
      <c r="J286" s="148"/>
      <c r="K286" s="148">
        <v>1.18</v>
      </c>
      <c r="L286" s="148">
        <f>F286*K286</f>
        <v>21.442252</v>
      </c>
      <c r="M286" s="148">
        <f>H286+J286+L286</f>
        <v>21.442252</v>
      </c>
    </row>
    <row r="287" spans="1:40" s="168" customFormat="1" ht="29.25" customHeight="1" x14ac:dyDescent="0.25">
      <c r="A287" s="161"/>
      <c r="B287" s="158" t="s">
        <v>151</v>
      </c>
      <c r="C287" s="162" t="s">
        <v>157</v>
      </c>
      <c r="D287" s="163" t="s">
        <v>152</v>
      </c>
      <c r="E287" s="164">
        <v>106</v>
      </c>
      <c r="F287" s="147">
        <f>E287*F283</f>
        <v>799.24</v>
      </c>
      <c r="G287" s="165"/>
      <c r="H287" s="166"/>
      <c r="I287" s="166">
        <f>28/1.18</f>
        <v>23.728813559322035</v>
      </c>
      <c r="J287" s="166">
        <f>F287*I287</f>
        <v>18965.016949152545</v>
      </c>
      <c r="K287" s="166"/>
      <c r="L287" s="166"/>
      <c r="M287" s="148">
        <f t="shared" ref="M287:M288" si="100">H287+J287+L287</f>
        <v>18965.016949152545</v>
      </c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</row>
    <row r="288" spans="1:40" s="169" customFormat="1" ht="18.75" customHeight="1" x14ac:dyDescent="0.25">
      <c r="A288" s="140"/>
      <c r="B288" s="158" t="s">
        <v>153</v>
      </c>
      <c r="C288" s="151" t="s">
        <v>158</v>
      </c>
      <c r="D288" s="152" t="s">
        <v>154</v>
      </c>
      <c r="E288" s="147">
        <v>645</v>
      </c>
      <c r="F288" s="147">
        <f>E288*F283</f>
        <v>4863.3</v>
      </c>
      <c r="G288" s="148"/>
      <c r="H288" s="148"/>
      <c r="I288" s="148">
        <v>0.16</v>
      </c>
      <c r="J288" s="148">
        <f>F288*I288</f>
        <v>778.12800000000004</v>
      </c>
      <c r="K288" s="148"/>
      <c r="L288" s="148"/>
      <c r="M288" s="148">
        <f t="shared" si="100"/>
        <v>778.12800000000004</v>
      </c>
    </row>
    <row r="289" spans="1:17" s="172" customFormat="1" ht="16.5" customHeight="1" x14ac:dyDescent="0.25">
      <c r="A289" s="170"/>
      <c r="B289" s="163"/>
      <c r="C289" s="163"/>
      <c r="D289" s="163"/>
      <c r="E289" s="171"/>
      <c r="F289" s="171"/>
      <c r="G289" s="166"/>
      <c r="H289" s="166"/>
      <c r="I289" s="166"/>
      <c r="J289" s="166"/>
      <c r="K289" s="166"/>
      <c r="L289" s="166"/>
      <c r="M289" s="166"/>
    </row>
    <row r="290" spans="1:17" s="12" customFormat="1" ht="27.75" customHeight="1" x14ac:dyDescent="0.25">
      <c r="A290" s="42">
        <v>2.9</v>
      </c>
      <c r="B290" s="37" t="s">
        <v>132</v>
      </c>
      <c r="C290" s="28" t="s">
        <v>201</v>
      </c>
      <c r="D290" s="40" t="s">
        <v>4</v>
      </c>
      <c r="E290" s="41"/>
      <c r="F290" s="86">
        <f>F294+F295</f>
        <v>418.38749999999999</v>
      </c>
      <c r="G290" s="113"/>
      <c r="H290" s="113"/>
      <c r="I290" s="102"/>
      <c r="J290" s="114"/>
      <c r="K290" s="114"/>
      <c r="L290" s="114"/>
      <c r="M290" s="115"/>
    </row>
    <row r="291" spans="1:17" s="10" customFormat="1" ht="18.75" customHeight="1" x14ac:dyDescent="0.2">
      <c r="A291" s="42"/>
      <c r="B291" s="43" t="s">
        <v>25</v>
      </c>
      <c r="C291" s="44" t="s">
        <v>36</v>
      </c>
      <c r="D291" s="45" t="s">
        <v>4</v>
      </c>
      <c r="E291" s="46">
        <v>1</v>
      </c>
      <c r="F291" s="47">
        <f>F290*E291</f>
        <v>418.38749999999999</v>
      </c>
      <c r="G291" s="116">
        <f>10</f>
        <v>10</v>
      </c>
      <c r="H291" s="117">
        <f>F291*G291</f>
        <v>4183.875</v>
      </c>
      <c r="I291" s="107"/>
      <c r="J291" s="98"/>
      <c r="K291" s="98"/>
      <c r="L291" s="98"/>
      <c r="M291" s="117">
        <f>H291+J291</f>
        <v>4183.875</v>
      </c>
      <c r="N291" s="10">
        <f>M291/57</f>
        <v>73.401315789473685</v>
      </c>
    </row>
    <row r="292" spans="1:17" s="80" customFormat="1" ht="18.75" customHeight="1" x14ac:dyDescent="0.25">
      <c r="A292" s="76"/>
      <c r="B292" s="43" t="s">
        <v>17</v>
      </c>
      <c r="C292" s="44" t="s">
        <v>100</v>
      </c>
      <c r="D292" s="42" t="s">
        <v>54</v>
      </c>
      <c r="E292" s="79">
        <f>15.1/100</f>
        <v>0.151</v>
      </c>
      <c r="F292" s="79">
        <f>E292*F290</f>
        <v>63.176512499999994</v>
      </c>
      <c r="G292" s="110"/>
      <c r="H292" s="98"/>
      <c r="I292" s="98"/>
      <c r="J292" s="98"/>
      <c r="K292" s="98">
        <f>K271</f>
        <v>38.380000000000003</v>
      </c>
      <c r="L292" s="98">
        <f>F292*K292</f>
        <v>2424.7145497500001</v>
      </c>
      <c r="M292" s="98">
        <f t="shared" ref="M292:M293" si="101">H292+J292+L292</f>
        <v>2424.7145497500001</v>
      </c>
    </row>
    <row r="293" spans="1:17" s="10" customFormat="1" ht="18.75" customHeight="1" x14ac:dyDescent="0.2">
      <c r="A293" s="42"/>
      <c r="B293" s="43" t="s">
        <v>17</v>
      </c>
      <c r="C293" s="44" t="s">
        <v>55</v>
      </c>
      <c r="D293" s="78" t="s">
        <v>7</v>
      </c>
      <c r="E293" s="79">
        <f>51.8/100</f>
        <v>0.51800000000000002</v>
      </c>
      <c r="F293" s="79">
        <f>E293*F290</f>
        <v>216.72472500000001</v>
      </c>
      <c r="G293" s="110"/>
      <c r="H293" s="98"/>
      <c r="I293" s="98"/>
      <c r="J293" s="98"/>
      <c r="K293" s="98">
        <v>4</v>
      </c>
      <c r="L293" s="98">
        <f>F293*K293</f>
        <v>866.89890000000003</v>
      </c>
      <c r="M293" s="98">
        <f t="shared" si="101"/>
        <v>866.89890000000003</v>
      </c>
    </row>
    <row r="294" spans="1:17" s="10" customFormat="1" ht="18.75" customHeight="1" x14ac:dyDescent="0.2">
      <c r="A294" s="42"/>
      <c r="B294" s="43" t="s">
        <v>17</v>
      </c>
      <c r="C294" s="44" t="s">
        <v>205</v>
      </c>
      <c r="D294" s="45" t="s">
        <v>4</v>
      </c>
      <c r="E294" s="88">
        <v>1</v>
      </c>
      <c r="F294" s="46">
        <f>5.1+2.5*5.5+2.8*1.8*2+3.2*6.5*2-15.07</f>
        <v>55.46</v>
      </c>
      <c r="G294" s="116"/>
      <c r="H294" s="117"/>
      <c r="I294" s="120">
        <v>425</v>
      </c>
      <c r="J294" s="98">
        <f t="shared" ref="J294" si="102">I294*F294</f>
        <v>23570.5</v>
      </c>
      <c r="K294" s="98"/>
      <c r="L294" s="98"/>
      <c r="M294" s="117">
        <f>H294+J294</f>
        <v>23570.5</v>
      </c>
    </row>
    <row r="295" spans="1:17" s="10" customFormat="1" ht="18.75" customHeight="1" x14ac:dyDescent="0.2">
      <c r="A295" s="42"/>
      <c r="B295" s="43" t="s">
        <v>17</v>
      </c>
      <c r="C295" s="44" t="s">
        <v>206</v>
      </c>
      <c r="D295" s="45" t="s">
        <v>4</v>
      </c>
      <c r="E295" s="88">
        <v>1</v>
      </c>
      <c r="F295" s="46">
        <f>0.7*0.9*3+2.26*1.9+1.8*1.9*3+2.05*1.9+1.5*1.9+1.1*1.9+2.1*5.5*11+2.1*3.48+2.1*2.46+1.95*1.8+1.61+5.72+2.45*1.8*3+2.35*5.5*18+2.3*6.3+2.45*1.41+2.45*1.75+1.45*1.3+1.45*0.95-F303</f>
        <v>362.92750000000001</v>
      </c>
      <c r="G295" s="116"/>
      <c r="H295" s="117"/>
      <c r="I295" s="120">
        <v>425</v>
      </c>
      <c r="J295" s="98">
        <f t="shared" ref="J295" si="103">I295*F295</f>
        <v>154244.1875</v>
      </c>
      <c r="K295" s="98"/>
      <c r="L295" s="98"/>
      <c r="M295" s="117">
        <f>H295+J295</f>
        <v>154244.1875</v>
      </c>
    </row>
    <row r="296" spans="1:17" s="97" customFormat="1" ht="18.75" customHeight="1" x14ac:dyDescent="0.2">
      <c r="A296" s="42"/>
      <c r="B296" s="43" t="s">
        <v>17</v>
      </c>
      <c r="C296" s="44" t="s">
        <v>107</v>
      </c>
      <c r="D296" s="78" t="s">
        <v>7</v>
      </c>
      <c r="E296" s="79">
        <f>5.4/100</f>
        <v>5.4000000000000006E-2</v>
      </c>
      <c r="F296" s="79">
        <f>E296*F290</f>
        <v>22.592925000000001</v>
      </c>
      <c r="G296" s="98"/>
      <c r="H296" s="98"/>
      <c r="I296" s="98">
        <v>4</v>
      </c>
      <c r="J296" s="98">
        <f t="shared" ref="J296" si="104">F296*I296</f>
        <v>90.371700000000004</v>
      </c>
      <c r="K296" s="98"/>
      <c r="L296" s="98"/>
      <c r="M296" s="98">
        <f t="shared" ref="M296" si="105">H296+J296+L296</f>
        <v>90.371700000000004</v>
      </c>
    </row>
    <row r="297" spans="1:17" s="84" customFormat="1" ht="18" customHeight="1" x14ac:dyDescent="0.25">
      <c r="A297" s="13"/>
      <c r="B297" s="77"/>
      <c r="C297" s="57"/>
      <c r="D297" s="81"/>
      <c r="E297" s="82"/>
      <c r="F297" s="79"/>
      <c r="G297" s="111"/>
      <c r="H297" s="112"/>
      <c r="I297" s="112"/>
      <c r="J297" s="112"/>
      <c r="K297" s="112"/>
      <c r="L297" s="112"/>
      <c r="M297" s="98"/>
    </row>
    <row r="298" spans="1:17" s="12" customFormat="1" ht="27.75" customHeight="1" x14ac:dyDescent="0.25">
      <c r="A298" s="42">
        <v>2.1</v>
      </c>
      <c r="B298" s="37" t="s">
        <v>132</v>
      </c>
      <c r="C298" s="6" t="s">
        <v>202</v>
      </c>
      <c r="D298" s="40" t="s">
        <v>4</v>
      </c>
      <c r="E298" s="41"/>
      <c r="F298" s="86">
        <v>99.16</v>
      </c>
      <c r="G298" s="113"/>
      <c r="H298" s="113"/>
      <c r="I298" s="102"/>
      <c r="J298" s="114"/>
      <c r="K298" s="114"/>
      <c r="L298" s="114"/>
      <c r="M298" s="115"/>
      <c r="Q298" s="12">
        <f>2.5*5.5</f>
        <v>13.75</v>
      </c>
    </row>
    <row r="299" spans="1:17" s="10" customFormat="1" ht="18.75" customHeight="1" x14ac:dyDescent="0.2">
      <c r="A299" s="42"/>
      <c r="B299" s="43" t="s">
        <v>25</v>
      </c>
      <c r="C299" s="44" t="s">
        <v>36</v>
      </c>
      <c r="D299" s="45" t="s">
        <v>4</v>
      </c>
      <c r="E299" s="46">
        <v>1</v>
      </c>
      <c r="F299" s="47">
        <f>F298*E299</f>
        <v>99.16</v>
      </c>
      <c r="G299" s="116">
        <f>10</f>
        <v>10</v>
      </c>
      <c r="H299" s="117">
        <f>F299*G299</f>
        <v>991.59999999999991</v>
      </c>
      <c r="I299" s="107"/>
      <c r="J299" s="98"/>
      <c r="K299" s="98"/>
      <c r="L299" s="98"/>
      <c r="M299" s="117">
        <f>H299+J299</f>
        <v>991.59999999999991</v>
      </c>
      <c r="N299" s="10">
        <f>M299/57</f>
        <v>17.396491228070175</v>
      </c>
    </row>
    <row r="300" spans="1:17" s="80" customFormat="1" ht="18.75" customHeight="1" x14ac:dyDescent="0.25">
      <c r="A300" s="76"/>
      <c r="B300" s="43" t="s">
        <v>17</v>
      </c>
      <c r="C300" s="44" t="s">
        <v>100</v>
      </c>
      <c r="D300" s="42" t="s">
        <v>54</v>
      </c>
      <c r="E300" s="79">
        <f>15.1/100</f>
        <v>0.151</v>
      </c>
      <c r="F300" s="79">
        <f>E300*F298</f>
        <v>14.973159999999998</v>
      </c>
      <c r="G300" s="110"/>
      <c r="H300" s="98"/>
      <c r="I300" s="98"/>
      <c r="J300" s="98"/>
      <c r="K300" s="98">
        <f>K279</f>
        <v>4</v>
      </c>
      <c r="L300" s="98">
        <f>F300*K300</f>
        <v>59.892639999999993</v>
      </c>
      <c r="M300" s="98">
        <f t="shared" ref="M300:M301" si="106">H300+J300+L300</f>
        <v>59.892639999999993</v>
      </c>
    </row>
    <row r="301" spans="1:17" s="10" customFormat="1" ht="18.75" customHeight="1" x14ac:dyDescent="0.2">
      <c r="A301" s="42"/>
      <c r="B301" s="43" t="s">
        <v>17</v>
      </c>
      <c r="C301" s="44" t="s">
        <v>55</v>
      </c>
      <c r="D301" s="78" t="s">
        <v>7</v>
      </c>
      <c r="E301" s="79">
        <f>51.8/100</f>
        <v>0.51800000000000002</v>
      </c>
      <c r="F301" s="79">
        <f>E301*F298</f>
        <v>51.364879999999999</v>
      </c>
      <c r="G301" s="110"/>
      <c r="H301" s="98"/>
      <c r="I301" s="98"/>
      <c r="J301" s="98"/>
      <c r="K301" s="98">
        <v>4</v>
      </c>
      <c r="L301" s="98">
        <f>F301*K301</f>
        <v>205.45952</v>
      </c>
      <c r="M301" s="98">
        <f t="shared" si="106"/>
        <v>205.45952</v>
      </c>
      <c r="P301" s="202">
        <f>F290+F298</f>
        <v>517.54750000000001</v>
      </c>
    </row>
    <row r="302" spans="1:17" s="10" customFormat="1" ht="18.75" customHeight="1" x14ac:dyDescent="0.2">
      <c r="A302" s="42"/>
      <c r="B302" s="43" t="s">
        <v>17</v>
      </c>
      <c r="C302" s="44" t="s">
        <v>203</v>
      </c>
      <c r="D302" s="45" t="s">
        <v>4</v>
      </c>
      <c r="E302" s="88">
        <v>1</v>
      </c>
      <c r="F302" s="46">
        <v>15.07</v>
      </c>
      <c r="G302" s="116"/>
      <c r="H302" s="117"/>
      <c r="I302" s="120">
        <v>425</v>
      </c>
      <c r="J302" s="98">
        <f t="shared" ref="J302:J303" si="107">I302*F302</f>
        <v>6404.75</v>
      </c>
      <c r="K302" s="98"/>
      <c r="L302" s="98"/>
      <c r="M302" s="117">
        <f>H302+J302</f>
        <v>6404.75</v>
      </c>
    </row>
    <row r="303" spans="1:17" s="10" customFormat="1" ht="18.75" customHeight="1" x14ac:dyDescent="0.2">
      <c r="A303" s="42"/>
      <c r="B303" s="43" t="s">
        <v>17</v>
      </c>
      <c r="C303" s="44" t="s">
        <v>204</v>
      </c>
      <c r="D303" s="45" t="s">
        <v>4</v>
      </c>
      <c r="E303" s="88">
        <v>1</v>
      </c>
      <c r="F303" s="46">
        <f>F298-F302</f>
        <v>84.09</v>
      </c>
      <c r="G303" s="116"/>
      <c r="H303" s="117"/>
      <c r="I303" s="120">
        <v>425</v>
      </c>
      <c r="J303" s="98">
        <f t="shared" si="107"/>
        <v>35738.25</v>
      </c>
      <c r="K303" s="98"/>
      <c r="L303" s="98"/>
      <c r="M303" s="117">
        <f>H303+J303</f>
        <v>35738.25</v>
      </c>
    </row>
    <row r="304" spans="1:17" s="97" customFormat="1" ht="18.75" customHeight="1" x14ac:dyDescent="0.2">
      <c r="A304" s="42"/>
      <c r="B304" s="43" t="s">
        <v>17</v>
      </c>
      <c r="C304" s="44" t="s">
        <v>107</v>
      </c>
      <c r="D304" s="78" t="s">
        <v>7</v>
      </c>
      <c r="E304" s="79">
        <f>5.4/100</f>
        <v>5.4000000000000006E-2</v>
      </c>
      <c r="F304" s="79">
        <f>E304*F298</f>
        <v>5.3546400000000007</v>
      </c>
      <c r="G304" s="98"/>
      <c r="H304" s="98"/>
      <c r="I304" s="98">
        <v>4</v>
      </c>
      <c r="J304" s="98">
        <f t="shared" ref="J304" si="108">F304*I304</f>
        <v>21.418560000000003</v>
      </c>
      <c r="K304" s="98"/>
      <c r="L304" s="98"/>
      <c r="M304" s="98">
        <f t="shared" ref="M304" si="109">H304+J304+L304</f>
        <v>21.418560000000003</v>
      </c>
      <c r="O304" s="97">
        <f>51-22</f>
        <v>29</v>
      </c>
    </row>
    <row r="305" spans="1:13" s="84" customFormat="1" ht="18" customHeight="1" x14ac:dyDescent="0.25">
      <c r="A305" s="13"/>
      <c r="B305" s="77"/>
      <c r="C305" s="57"/>
      <c r="D305" s="81"/>
      <c r="E305" s="82"/>
      <c r="F305" s="79"/>
      <c r="G305" s="111"/>
      <c r="H305" s="112"/>
      <c r="I305" s="112"/>
      <c r="J305" s="112"/>
      <c r="K305" s="112"/>
      <c r="L305" s="112"/>
      <c r="M305" s="98"/>
    </row>
    <row r="306" spans="1:13" s="14" customFormat="1" ht="18" customHeight="1" x14ac:dyDescent="0.25">
      <c r="A306" s="13"/>
      <c r="B306" s="52"/>
      <c r="C306" s="5" t="s">
        <v>9</v>
      </c>
      <c r="D306" s="5" t="s">
        <v>7</v>
      </c>
      <c r="E306" s="53"/>
      <c r="F306" s="54"/>
      <c r="G306" s="123"/>
      <c r="H306" s="124">
        <f>SUM(H16:H297)</f>
        <v>412567.56741000002</v>
      </c>
      <c r="I306" s="124"/>
      <c r="J306" s="124">
        <f>SUM(J16:J297)</f>
        <v>1098846.9716314347</v>
      </c>
      <c r="K306" s="124"/>
      <c r="L306" s="124">
        <f>SUM(L16:L297)</f>
        <v>176257.52852565402</v>
      </c>
      <c r="M306" s="124">
        <f>SUM(M16:M297)</f>
        <v>1687672.0675670889</v>
      </c>
    </row>
    <row r="307" spans="1:13" s="10" customFormat="1" ht="26.25" customHeight="1" x14ac:dyDescent="0.2">
      <c r="A307" s="55"/>
      <c r="B307" s="56"/>
      <c r="C307" s="57" t="s">
        <v>16</v>
      </c>
      <c r="D307" s="58" t="s">
        <v>17</v>
      </c>
      <c r="E307" s="62"/>
      <c r="F307" s="99">
        <v>0.05</v>
      </c>
      <c r="G307" s="125"/>
      <c r="H307" s="126"/>
      <c r="I307" s="127"/>
      <c r="J307" s="112"/>
      <c r="K307" s="112"/>
      <c r="L307" s="112">
        <f>J306*F307</f>
        <v>54942.348581571743</v>
      </c>
      <c r="M307" s="126">
        <f>L307</f>
        <v>54942.348581571743</v>
      </c>
    </row>
    <row r="308" spans="1:13" s="14" customFormat="1" ht="18" customHeight="1" x14ac:dyDescent="0.25">
      <c r="A308" s="13"/>
      <c r="B308" s="52"/>
      <c r="C308" s="5" t="s">
        <v>9</v>
      </c>
      <c r="D308" s="58" t="s">
        <v>17</v>
      </c>
      <c r="E308" s="63"/>
      <c r="F308" s="100"/>
      <c r="G308" s="123"/>
      <c r="H308" s="124"/>
      <c r="I308" s="124"/>
      <c r="J308" s="124"/>
      <c r="K308" s="124"/>
      <c r="L308" s="124"/>
      <c r="M308" s="124">
        <f>SUM(M306:M307)</f>
        <v>1742614.4161486607</v>
      </c>
    </row>
    <row r="309" spans="1:13" s="10" customFormat="1" ht="18" customHeight="1" x14ac:dyDescent="0.2">
      <c r="A309" s="55"/>
      <c r="B309" s="56"/>
      <c r="C309" s="57" t="s">
        <v>26</v>
      </c>
      <c r="D309" s="58" t="s">
        <v>17</v>
      </c>
      <c r="E309" s="62"/>
      <c r="F309" s="99">
        <v>0.1</v>
      </c>
      <c r="G309" s="125"/>
      <c r="H309" s="126"/>
      <c r="I309" s="127"/>
      <c r="J309" s="112"/>
      <c r="K309" s="112"/>
      <c r="L309" s="112"/>
      <c r="M309" s="126">
        <f>M308*F309</f>
        <v>174261.44161486608</v>
      </c>
    </row>
    <row r="310" spans="1:13" s="14" customFormat="1" ht="18" customHeight="1" x14ac:dyDescent="0.25">
      <c r="A310" s="13"/>
      <c r="B310" s="52"/>
      <c r="C310" s="5" t="s">
        <v>9</v>
      </c>
      <c r="D310" s="58" t="s">
        <v>17</v>
      </c>
      <c r="E310" s="63"/>
      <c r="F310" s="100"/>
      <c r="G310" s="123"/>
      <c r="H310" s="124"/>
      <c r="I310" s="124"/>
      <c r="J310" s="124"/>
      <c r="K310" s="124"/>
      <c r="L310" s="124"/>
      <c r="M310" s="124">
        <f>SUM(M308:M309)</f>
        <v>1916875.8577635267</v>
      </c>
    </row>
    <row r="311" spans="1:13" s="10" customFormat="1" ht="18" customHeight="1" x14ac:dyDescent="0.2">
      <c r="A311" s="55"/>
      <c r="B311" s="56"/>
      <c r="C311" s="57" t="s">
        <v>27</v>
      </c>
      <c r="D311" s="58" t="s">
        <v>17</v>
      </c>
      <c r="E311" s="62"/>
      <c r="F311" s="99">
        <v>0.08</v>
      </c>
      <c r="G311" s="125"/>
      <c r="H311" s="126"/>
      <c r="I311" s="127"/>
      <c r="J311" s="112"/>
      <c r="K311" s="112"/>
      <c r="L311" s="112"/>
      <c r="M311" s="126">
        <f>M310*F311</f>
        <v>153350.06862108214</v>
      </c>
    </row>
    <row r="312" spans="1:13" s="14" customFormat="1" ht="18" customHeight="1" x14ac:dyDescent="0.25">
      <c r="A312" s="13"/>
      <c r="B312" s="52"/>
      <c r="C312" s="5" t="s">
        <v>9</v>
      </c>
      <c r="D312" s="58" t="s">
        <v>17</v>
      </c>
      <c r="E312" s="63"/>
      <c r="F312" s="100"/>
      <c r="G312" s="123"/>
      <c r="H312" s="124"/>
      <c r="I312" s="124"/>
      <c r="J312" s="124"/>
      <c r="K312" s="124"/>
      <c r="L312" s="124"/>
      <c r="M312" s="124">
        <f>SUM(M310:M311)</f>
        <v>2070225.926384609</v>
      </c>
    </row>
    <row r="313" spans="1:13" s="10" customFormat="1" ht="18" customHeight="1" x14ac:dyDescent="0.2">
      <c r="A313" s="55"/>
      <c r="B313" s="56"/>
      <c r="C313" s="57" t="s">
        <v>28</v>
      </c>
      <c r="D313" s="58" t="s">
        <v>17</v>
      </c>
      <c r="E313" s="62"/>
      <c r="F313" s="99">
        <v>0.03</v>
      </c>
      <c r="G313" s="125"/>
      <c r="H313" s="126"/>
      <c r="I313" s="127"/>
      <c r="J313" s="112"/>
      <c r="K313" s="112"/>
      <c r="L313" s="112"/>
      <c r="M313" s="126">
        <f>M312*F313</f>
        <v>62106.777791538269</v>
      </c>
    </row>
    <row r="314" spans="1:13" s="14" customFormat="1" ht="18" customHeight="1" x14ac:dyDescent="0.25">
      <c r="A314" s="13"/>
      <c r="B314" s="52"/>
      <c r="C314" s="5" t="s">
        <v>9</v>
      </c>
      <c r="D314" s="58" t="s">
        <v>17</v>
      </c>
      <c r="E314" s="63"/>
      <c r="F314" s="100"/>
      <c r="G314" s="123"/>
      <c r="H314" s="124"/>
      <c r="I314" s="124"/>
      <c r="J314" s="124"/>
      <c r="K314" s="124"/>
      <c r="L314" s="124"/>
      <c r="M314" s="124">
        <f>SUM(M312:M313)</f>
        <v>2132332.704176147</v>
      </c>
    </row>
    <row r="315" spans="1:13" s="10" customFormat="1" ht="18" customHeight="1" x14ac:dyDescent="0.2">
      <c r="A315" s="55"/>
      <c r="B315" s="56"/>
      <c r="C315" s="57" t="s">
        <v>29</v>
      </c>
      <c r="D315" s="58" t="s">
        <v>17</v>
      </c>
      <c r="E315" s="62"/>
      <c r="F315" s="99">
        <v>0.18</v>
      </c>
      <c r="G315" s="125"/>
      <c r="H315" s="126"/>
      <c r="I315" s="127"/>
      <c r="J315" s="112"/>
      <c r="K315" s="112"/>
      <c r="L315" s="112"/>
      <c r="M315" s="126">
        <f>M314*F315</f>
        <v>383819.88675170642</v>
      </c>
    </row>
    <row r="316" spans="1:13" s="14" customFormat="1" ht="18" customHeight="1" x14ac:dyDescent="0.25">
      <c r="A316" s="13"/>
      <c r="B316" s="52"/>
      <c r="C316" s="5" t="s">
        <v>14</v>
      </c>
      <c r="D316" s="58" t="s">
        <v>17</v>
      </c>
      <c r="E316" s="53"/>
      <c r="F316" s="54"/>
      <c r="G316" s="123"/>
      <c r="H316" s="124"/>
      <c r="I316" s="124"/>
      <c r="J316" s="124"/>
      <c r="K316" s="124"/>
      <c r="L316" s="124"/>
      <c r="M316" s="124">
        <f>SUM(M314:M315)</f>
        <v>2516152.5909278532</v>
      </c>
    </row>
    <row r="317" spans="1:13" s="15" customFormat="1" ht="20.100000000000001" customHeight="1" x14ac:dyDescent="0.25">
      <c r="C317" s="16"/>
      <c r="D317" s="17"/>
      <c r="E317" s="18"/>
      <c r="F317" s="18"/>
      <c r="G317" s="18"/>
      <c r="H317" s="19"/>
      <c r="I317" s="19"/>
    </row>
    <row r="318" spans="1:13" ht="16.5" customHeight="1" x14ac:dyDescent="0.2">
      <c r="A318" s="208" t="s">
        <v>127</v>
      </c>
      <c r="B318" s="208"/>
      <c r="C318" s="208"/>
      <c r="D318" s="208"/>
      <c r="E318" s="208"/>
      <c r="F318" s="208"/>
      <c r="G318" s="208"/>
      <c r="H318" s="208"/>
      <c r="I318" s="208"/>
      <c r="J318" s="22"/>
      <c r="K318" s="22"/>
      <c r="L318" s="22"/>
      <c r="M318" s="22"/>
    </row>
    <row r="319" spans="1:13" ht="15" customHeight="1" x14ac:dyDescent="0.2">
      <c r="A319" s="23"/>
      <c r="B319" s="23"/>
      <c r="C319" s="23"/>
      <c r="D319" s="2"/>
      <c r="E319" s="2"/>
      <c r="F319" s="69"/>
      <c r="G319" s="2"/>
      <c r="H319" s="2"/>
      <c r="I319" s="1"/>
      <c r="J319" s="1"/>
      <c r="K319" s="1"/>
      <c r="L319" s="1"/>
      <c r="M319" s="1"/>
    </row>
    <row r="320" spans="1:13" ht="15.75" customHeight="1" x14ac:dyDescent="0.2">
      <c r="A320" s="1"/>
      <c r="B320" s="1"/>
      <c r="C320" s="1"/>
      <c r="D320" s="1"/>
      <c r="E320" s="1"/>
      <c r="F320" s="66"/>
      <c r="G320" s="1"/>
      <c r="H320" s="1"/>
      <c r="I320" s="1"/>
      <c r="J320" s="1"/>
      <c r="K320" s="1"/>
      <c r="L320" s="1"/>
      <c r="M320" s="1"/>
    </row>
    <row r="321" spans="1:13" ht="20.25" customHeight="1" x14ac:dyDescent="0.2">
      <c r="A321" s="207"/>
      <c r="B321" s="207"/>
      <c r="C321" s="207"/>
      <c r="D321" s="3"/>
      <c r="E321" s="211"/>
      <c r="F321" s="211"/>
      <c r="G321" s="211"/>
      <c r="H321" s="211"/>
      <c r="I321" s="211"/>
      <c r="J321" s="211"/>
      <c r="K321" s="211"/>
      <c r="L321" s="211"/>
      <c r="M321" s="211"/>
    </row>
    <row r="322" spans="1:13" ht="20.25" customHeight="1" x14ac:dyDescent="0.2">
      <c r="A322" s="20"/>
      <c r="B322" s="20"/>
      <c r="C322" s="20"/>
      <c r="D322" s="20"/>
      <c r="E322" s="21"/>
      <c r="F322" s="70"/>
      <c r="G322" s="21"/>
      <c r="H322" s="21"/>
      <c r="I322" s="21"/>
      <c r="J322" s="21"/>
      <c r="K322" s="49"/>
      <c r="L322" s="49"/>
      <c r="M322" s="21"/>
    </row>
    <row r="323" spans="1:13" s="15" customFormat="1" ht="20.100000000000001" customHeight="1" x14ac:dyDescent="0.25">
      <c r="A323" s="207"/>
      <c r="B323" s="207"/>
      <c r="C323" s="207"/>
      <c r="D323" s="207"/>
      <c r="E323" s="3"/>
      <c r="F323" s="71"/>
      <c r="G323" s="3"/>
      <c r="H323" s="19"/>
      <c r="I323" s="19"/>
    </row>
  </sheetData>
  <mergeCells count="25">
    <mergeCell ref="A9:F9"/>
    <mergeCell ref="A323:D323"/>
    <mergeCell ref="A318:C318"/>
    <mergeCell ref="D318:I318"/>
    <mergeCell ref="H1:M1"/>
    <mergeCell ref="A8:G8"/>
    <mergeCell ref="A321:C321"/>
    <mergeCell ref="E321:M321"/>
    <mergeCell ref="A2:M2"/>
    <mergeCell ref="A4:M4"/>
    <mergeCell ref="A6:M6"/>
    <mergeCell ref="A7:M7"/>
    <mergeCell ref="G9:M9"/>
    <mergeCell ref="H8:I8"/>
    <mergeCell ref="F10:F12"/>
    <mergeCell ref="G10:M10"/>
    <mergeCell ref="G11:H11"/>
    <mergeCell ref="I11:J11"/>
    <mergeCell ref="K11:L11"/>
    <mergeCell ref="M11:M12"/>
    <mergeCell ref="A10:A12"/>
    <mergeCell ref="B10:B12"/>
    <mergeCell ref="C10:C12"/>
    <mergeCell ref="D10:D12"/>
    <mergeCell ref="E10:E12"/>
  </mergeCells>
  <phoneticPr fontId="2" type="noConversion"/>
  <pageMargins left="0.5" right="0.25" top="0.5" bottom="0.25" header="0.3" footer="0.3"/>
  <pageSetup orientation="landscape" r:id="rId1"/>
  <ignoredErrors>
    <ignoredError sqref="M77 I177 M17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23"/>
  <sheetViews>
    <sheetView tabSelected="1" view="pageBreakPreview" topLeftCell="A25" zoomScaleNormal="100" zoomScaleSheetLayoutView="100" workbookViewId="0">
      <selection activeCell="C20" sqref="C20"/>
    </sheetView>
  </sheetViews>
  <sheetFormatPr defaultRowHeight="14.25" outlineLevelRow="1" outlineLevelCol="1" x14ac:dyDescent="0.2"/>
  <cols>
    <col min="1" max="1" width="5" style="4" customWidth="1"/>
    <col min="2" max="2" width="7.7109375" style="4" customWidth="1"/>
    <col min="3" max="3" width="42.5703125" style="4" customWidth="1"/>
    <col min="4" max="4" width="7.7109375" style="4" customWidth="1"/>
    <col min="5" max="5" width="7.140625" style="4" hidden="1" customWidth="1" outlineLevel="1"/>
    <col min="6" max="6" width="7.140625" style="72" customWidth="1" collapsed="1"/>
    <col min="7" max="7" width="6.140625" style="4" customWidth="1"/>
    <col min="8" max="8" width="8.28515625" style="4" customWidth="1"/>
    <col min="9" max="9" width="6.5703125" style="4" customWidth="1"/>
    <col min="10" max="10" width="9.28515625" style="4" customWidth="1"/>
    <col min="11" max="11" width="5.85546875" style="4" customWidth="1"/>
    <col min="12" max="12" width="8.28515625" style="4" customWidth="1"/>
    <col min="13" max="13" width="8" style="4" customWidth="1"/>
    <col min="14" max="16384" width="9.140625" style="4"/>
  </cols>
  <sheetData>
    <row r="1" spans="1:13" s="1" customFormat="1" ht="18" customHeight="1" x14ac:dyDescent="0.2">
      <c r="F1" s="66"/>
      <c r="H1" s="209" t="s">
        <v>18</v>
      </c>
      <c r="I1" s="209"/>
      <c r="J1" s="209"/>
      <c r="K1" s="209"/>
      <c r="L1" s="209"/>
      <c r="M1" s="209"/>
    </row>
    <row r="2" spans="1:13" s="25" customFormat="1" ht="24.75" customHeight="1" x14ac:dyDescent="0.25">
      <c r="A2" s="212" t="s">
        <v>141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s="25" customFormat="1" ht="12.75" customHeight="1" x14ac:dyDescent="0.25">
      <c r="A3" s="137"/>
      <c r="B3" s="137"/>
      <c r="C3" s="137"/>
      <c r="D3" s="137"/>
      <c r="E3" s="137"/>
      <c r="F3" s="67"/>
      <c r="G3" s="137"/>
      <c r="H3" s="137"/>
      <c r="I3" s="137"/>
      <c r="J3" s="137"/>
      <c r="K3" s="137"/>
      <c r="L3" s="137"/>
      <c r="M3" s="137"/>
    </row>
    <row r="4" spans="1:13" s="26" customFormat="1" ht="20.25" customHeight="1" x14ac:dyDescent="0.25">
      <c r="A4" s="213" t="s">
        <v>140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</row>
    <row r="5" spans="1:13" s="26" customFormat="1" ht="12.75" customHeight="1" x14ac:dyDescent="0.25">
      <c r="A5" s="138"/>
      <c r="B5" s="138"/>
      <c r="C5" s="138"/>
      <c r="D5" s="138"/>
      <c r="E5" s="138"/>
      <c r="F5" s="68"/>
      <c r="G5" s="138"/>
      <c r="H5" s="138"/>
      <c r="I5" s="138"/>
      <c r="J5" s="138"/>
      <c r="K5" s="138"/>
      <c r="L5" s="138"/>
      <c r="M5" s="138"/>
    </row>
    <row r="6" spans="1:13" s="26" customFormat="1" ht="34.5" customHeight="1" x14ac:dyDescent="0.25">
      <c r="A6" s="214" t="s">
        <v>207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</row>
    <row r="7" spans="1:13" s="26" customFormat="1" ht="18" customHeight="1" x14ac:dyDescent="0.25">
      <c r="A7" s="211" t="s">
        <v>10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1:13" ht="18" customHeight="1" x14ac:dyDescent="0.2">
      <c r="A8" s="210"/>
      <c r="B8" s="210"/>
      <c r="C8" s="210"/>
      <c r="D8" s="210"/>
      <c r="E8" s="210"/>
      <c r="F8" s="210"/>
      <c r="G8" s="210"/>
      <c r="H8" s="216">
        <f>M316</f>
        <v>0</v>
      </c>
      <c r="I8" s="216"/>
      <c r="J8" s="27" t="s">
        <v>7</v>
      </c>
      <c r="K8" s="27"/>
      <c r="L8" s="27"/>
    </row>
    <row r="9" spans="1:13" customFormat="1" ht="27" customHeight="1" x14ac:dyDescent="0.25">
      <c r="A9" s="219" t="s">
        <v>200</v>
      </c>
      <c r="B9" s="206"/>
      <c r="C9" s="206"/>
      <c r="D9" s="206"/>
      <c r="E9" s="206"/>
      <c r="F9" s="206"/>
      <c r="G9" s="215" t="s">
        <v>11</v>
      </c>
      <c r="H9" s="215"/>
      <c r="I9" s="215"/>
      <c r="J9" s="215"/>
      <c r="K9" s="215"/>
      <c r="L9" s="215"/>
      <c r="M9" s="215"/>
    </row>
    <row r="10" spans="1:13" s="59" customFormat="1" ht="24" customHeight="1" x14ac:dyDescent="0.25">
      <c r="A10" s="204" t="s">
        <v>0</v>
      </c>
      <c r="B10" s="205" t="s">
        <v>24</v>
      </c>
      <c r="C10" s="205" t="s">
        <v>12</v>
      </c>
      <c r="D10" s="205" t="s">
        <v>8</v>
      </c>
      <c r="E10" s="205" t="s">
        <v>19</v>
      </c>
      <c r="F10" s="217" t="s">
        <v>1</v>
      </c>
      <c r="G10" s="218" t="s">
        <v>20</v>
      </c>
      <c r="H10" s="218"/>
      <c r="I10" s="218"/>
      <c r="J10" s="218"/>
      <c r="K10" s="218"/>
      <c r="L10" s="218"/>
      <c r="M10" s="218"/>
    </row>
    <row r="11" spans="1:13" s="59" customFormat="1" ht="26.25" customHeight="1" x14ac:dyDescent="0.25">
      <c r="A11" s="205"/>
      <c r="B11" s="205"/>
      <c r="C11" s="205"/>
      <c r="D11" s="205"/>
      <c r="E11" s="205"/>
      <c r="F11" s="217"/>
      <c r="G11" s="203" t="s">
        <v>21</v>
      </c>
      <c r="H11" s="203"/>
      <c r="I11" s="203" t="s">
        <v>22</v>
      </c>
      <c r="J11" s="203"/>
      <c r="K11" s="203" t="s">
        <v>23</v>
      </c>
      <c r="L11" s="203"/>
      <c r="M11" s="203" t="s">
        <v>6</v>
      </c>
    </row>
    <row r="12" spans="1:13" s="59" customFormat="1" ht="18" customHeight="1" x14ac:dyDescent="0.25">
      <c r="A12" s="205"/>
      <c r="B12" s="205"/>
      <c r="C12" s="205"/>
      <c r="D12" s="205"/>
      <c r="E12" s="205"/>
      <c r="F12" s="217"/>
      <c r="G12" s="134" t="s">
        <v>2</v>
      </c>
      <c r="H12" s="134" t="s">
        <v>3</v>
      </c>
      <c r="I12" s="134" t="s">
        <v>2</v>
      </c>
      <c r="J12" s="134" t="s">
        <v>3</v>
      </c>
      <c r="K12" s="134" t="s">
        <v>2</v>
      </c>
      <c r="L12" s="134" t="s">
        <v>3</v>
      </c>
      <c r="M12" s="203"/>
    </row>
    <row r="13" spans="1:13" s="59" customFormat="1" ht="18" customHeight="1" x14ac:dyDescent="0.2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</row>
    <row r="14" spans="1:13" s="10" customFormat="1" ht="21" customHeight="1" x14ac:dyDescent="0.2">
      <c r="A14" s="48"/>
      <c r="B14" s="31"/>
      <c r="C14" s="11" t="s">
        <v>46</v>
      </c>
      <c r="D14" s="133"/>
      <c r="E14" s="32"/>
      <c r="F14" s="8"/>
      <c r="G14" s="8"/>
      <c r="H14" s="33"/>
      <c r="I14" s="36"/>
      <c r="J14" s="9"/>
      <c r="K14" s="9"/>
      <c r="L14" s="9"/>
      <c r="M14" s="33"/>
    </row>
    <row r="15" spans="1:13" s="12" customFormat="1" ht="34.5" customHeight="1" x14ac:dyDescent="0.25">
      <c r="A15" s="48">
        <v>1.1000000000000001</v>
      </c>
      <c r="B15" s="37" t="s">
        <v>49</v>
      </c>
      <c r="C15" s="6" t="s">
        <v>50</v>
      </c>
      <c r="D15" s="133" t="s">
        <v>51</v>
      </c>
      <c r="E15" s="191"/>
      <c r="F15" s="8">
        <f>14400/1000</f>
        <v>14.4</v>
      </c>
      <c r="G15" s="101"/>
      <c r="H15" s="101"/>
      <c r="I15" s="102"/>
      <c r="J15" s="103"/>
      <c r="K15" s="103"/>
      <c r="L15" s="103"/>
      <c r="M15" s="104"/>
    </row>
    <row r="16" spans="1:13" s="10" customFormat="1" ht="25.5" hidden="1" customHeight="1" outlineLevel="1" x14ac:dyDescent="0.2">
      <c r="A16" s="48"/>
      <c r="B16" s="31" t="s">
        <v>25</v>
      </c>
      <c r="C16" s="6" t="s">
        <v>36</v>
      </c>
      <c r="D16" s="133" t="s">
        <v>52</v>
      </c>
      <c r="E16" s="32">
        <v>13.2</v>
      </c>
      <c r="F16" s="8">
        <f>E16*F15</f>
        <v>190.07999999999998</v>
      </c>
      <c r="G16" s="105"/>
      <c r="H16" s="106"/>
      <c r="I16" s="107"/>
      <c r="J16" s="108"/>
      <c r="K16" s="108"/>
      <c r="L16" s="108"/>
      <c r="M16" s="106"/>
    </row>
    <row r="17" spans="1:13" s="10" customFormat="1" ht="20.25" hidden="1" customHeight="1" outlineLevel="1" x14ac:dyDescent="0.2">
      <c r="A17" s="48"/>
      <c r="B17" s="31" t="s">
        <v>17</v>
      </c>
      <c r="C17" s="6" t="s">
        <v>53</v>
      </c>
      <c r="D17" s="133" t="s">
        <v>54</v>
      </c>
      <c r="E17" s="32">
        <v>29.5</v>
      </c>
      <c r="F17" s="32">
        <f>E17*F15</f>
        <v>424.8</v>
      </c>
      <c r="G17" s="105"/>
      <c r="H17" s="106"/>
      <c r="I17" s="109"/>
      <c r="J17" s="108"/>
      <c r="K17" s="108"/>
      <c r="L17" s="108"/>
      <c r="M17" s="106"/>
    </row>
    <row r="18" spans="1:13" s="10" customFormat="1" ht="20.25" hidden="1" customHeight="1" outlineLevel="1" x14ac:dyDescent="0.2">
      <c r="A18" s="48"/>
      <c r="B18" s="31" t="s">
        <v>17</v>
      </c>
      <c r="C18" s="6" t="s">
        <v>55</v>
      </c>
      <c r="D18" s="133" t="s">
        <v>7</v>
      </c>
      <c r="E18" s="32">
        <v>2.1</v>
      </c>
      <c r="F18" s="32">
        <f>E18*F15</f>
        <v>30.240000000000002</v>
      </c>
      <c r="G18" s="105"/>
      <c r="H18" s="106"/>
      <c r="I18" s="109"/>
      <c r="J18" s="108"/>
      <c r="K18" s="108"/>
      <c r="L18" s="108"/>
      <c r="M18" s="106"/>
    </row>
    <row r="19" spans="1:13" s="10" customFormat="1" ht="20.25" hidden="1" customHeight="1" outlineLevel="1" x14ac:dyDescent="0.2">
      <c r="A19" s="48"/>
      <c r="B19" s="31"/>
      <c r="C19" s="6"/>
      <c r="D19" s="133"/>
      <c r="E19" s="32"/>
      <c r="F19" s="8"/>
      <c r="G19" s="105"/>
      <c r="H19" s="106"/>
      <c r="I19" s="109"/>
      <c r="J19" s="108"/>
      <c r="K19" s="108"/>
      <c r="L19" s="108"/>
      <c r="M19" s="106"/>
    </row>
    <row r="20" spans="1:13" s="12" customFormat="1" ht="32.25" customHeight="1" collapsed="1" x14ac:dyDescent="0.25">
      <c r="A20" s="48">
        <v>1.2</v>
      </c>
      <c r="B20" s="37" t="s">
        <v>198</v>
      </c>
      <c r="C20" s="6" t="s">
        <v>57</v>
      </c>
      <c r="D20" s="133" t="s">
        <v>34</v>
      </c>
      <c r="E20" s="191"/>
      <c r="F20" s="105">
        <f>F15*1000-1400</f>
        <v>13000</v>
      </c>
      <c r="G20" s="101"/>
      <c r="H20" s="101"/>
      <c r="I20" s="102"/>
      <c r="J20" s="103"/>
      <c r="K20" s="103"/>
      <c r="L20" s="103"/>
      <c r="M20" s="104"/>
    </row>
    <row r="21" spans="1:13" s="10" customFormat="1" ht="18.75" hidden="1" customHeight="1" outlineLevel="1" x14ac:dyDescent="0.2">
      <c r="A21" s="48"/>
      <c r="B21" s="31" t="s">
        <v>25</v>
      </c>
      <c r="C21" s="6" t="s">
        <v>58</v>
      </c>
      <c r="D21" s="133" t="s">
        <v>15</v>
      </c>
      <c r="E21" s="32">
        <v>1.75</v>
      </c>
      <c r="F21" s="105">
        <f>E21*F20</f>
        <v>22750</v>
      </c>
      <c r="G21" s="105"/>
      <c r="H21" s="106"/>
      <c r="I21" s="107"/>
      <c r="J21" s="108"/>
      <c r="K21" s="108"/>
      <c r="L21" s="108"/>
      <c r="M21" s="106"/>
    </row>
    <row r="22" spans="1:13" s="10" customFormat="1" ht="18.75" hidden="1" customHeight="1" outlineLevel="1" x14ac:dyDescent="0.2">
      <c r="A22" s="48"/>
      <c r="B22" s="31"/>
      <c r="C22" s="6"/>
      <c r="D22" s="133"/>
      <c r="E22" s="32"/>
      <c r="F22" s="8"/>
      <c r="G22" s="105"/>
      <c r="H22" s="106"/>
      <c r="I22" s="109"/>
      <c r="J22" s="108"/>
      <c r="K22" s="108"/>
      <c r="L22" s="108"/>
      <c r="M22" s="106"/>
    </row>
    <row r="23" spans="1:13" s="12" customFormat="1" ht="18.75" customHeight="1" collapsed="1" x14ac:dyDescent="0.25">
      <c r="A23" s="48">
        <v>1.3</v>
      </c>
      <c r="B23" s="37" t="s">
        <v>59</v>
      </c>
      <c r="C23" s="6" t="s">
        <v>176</v>
      </c>
      <c r="D23" s="133" t="s">
        <v>34</v>
      </c>
      <c r="E23" s="191"/>
      <c r="F23" s="8">
        <f>1400/1000</f>
        <v>1.4</v>
      </c>
      <c r="G23" s="101"/>
      <c r="H23" s="101"/>
      <c r="I23" s="102"/>
      <c r="J23" s="103"/>
      <c r="K23" s="103"/>
      <c r="L23" s="103"/>
      <c r="M23" s="104"/>
    </row>
    <row r="24" spans="1:13" s="10" customFormat="1" ht="18.75" hidden="1" customHeight="1" outlineLevel="1" x14ac:dyDescent="0.2">
      <c r="A24" s="48"/>
      <c r="B24" s="31" t="s">
        <v>25</v>
      </c>
      <c r="C24" s="6" t="s">
        <v>60</v>
      </c>
      <c r="D24" s="133" t="s">
        <v>15</v>
      </c>
      <c r="E24" s="32">
        <v>9.2100000000000009</v>
      </c>
      <c r="F24" s="8">
        <f>E24*F23</f>
        <v>12.894</v>
      </c>
      <c r="G24" s="105"/>
      <c r="H24" s="106"/>
      <c r="I24" s="107"/>
      <c r="J24" s="108"/>
      <c r="K24" s="108"/>
      <c r="L24" s="108"/>
      <c r="M24" s="106"/>
    </row>
    <row r="25" spans="1:13" s="12" customFormat="1" ht="39.75" customHeight="1" collapsed="1" x14ac:dyDescent="0.25">
      <c r="A25" s="48">
        <v>1.4</v>
      </c>
      <c r="B25" s="37" t="s">
        <v>61</v>
      </c>
      <c r="C25" s="6" t="s">
        <v>177</v>
      </c>
      <c r="D25" s="133" t="s">
        <v>34</v>
      </c>
      <c r="E25" s="191"/>
      <c r="F25" s="8">
        <f>(168.2+13.5+24.5+36+42.9+12.96+15.6+12.96)/0.4*0.1</f>
        <v>81.654999999999987</v>
      </c>
      <c r="G25" s="101"/>
      <c r="H25" s="101"/>
      <c r="I25" s="102"/>
      <c r="J25" s="103"/>
      <c r="K25" s="103"/>
      <c r="L25" s="103"/>
      <c r="M25" s="104"/>
    </row>
    <row r="26" spans="1:13" s="10" customFormat="1" ht="18.75" hidden="1" customHeight="1" outlineLevel="1" x14ac:dyDescent="0.2">
      <c r="A26" s="48"/>
      <c r="B26" s="31" t="s">
        <v>25</v>
      </c>
      <c r="C26" s="6" t="s">
        <v>36</v>
      </c>
      <c r="D26" s="133" t="s">
        <v>52</v>
      </c>
      <c r="E26" s="32">
        <v>0.89</v>
      </c>
      <c r="F26" s="8">
        <f>E26*F25</f>
        <v>72.672949999999986</v>
      </c>
      <c r="G26" s="105"/>
      <c r="H26" s="106"/>
      <c r="I26" s="107"/>
      <c r="J26" s="108"/>
      <c r="K26" s="108"/>
      <c r="L26" s="108"/>
      <c r="M26" s="106"/>
    </row>
    <row r="27" spans="1:13" s="10" customFormat="1" ht="20.25" hidden="1" customHeight="1" outlineLevel="1" x14ac:dyDescent="0.2">
      <c r="A27" s="48"/>
      <c r="B27" s="31"/>
      <c r="C27" s="6" t="s">
        <v>62</v>
      </c>
      <c r="D27" s="133" t="s">
        <v>7</v>
      </c>
      <c r="E27" s="32">
        <v>0.37</v>
      </c>
      <c r="F27" s="32">
        <f>E27*F25</f>
        <v>30.212349999999994</v>
      </c>
      <c r="G27" s="105"/>
      <c r="H27" s="106"/>
      <c r="I27" s="109"/>
      <c r="J27" s="108"/>
      <c r="K27" s="108"/>
      <c r="L27" s="108"/>
      <c r="M27" s="106"/>
    </row>
    <row r="28" spans="1:13" s="10" customFormat="1" ht="20.25" hidden="1" customHeight="1" outlineLevel="1" x14ac:dyDescent="0.2">
      <c r="A28" s="48"/>
      <c r="B28" s="31" t="s">
        <v>17</v>
      </c>
      <c r="C28" s="6" t="s">
        <v>63</v>
      </c>
      <c r="D28" s="133" t="s">
        <v>34</v>
      </c>
      <c r="E28" s="32">
        <v>1.1499999999999999</v>
      </c>
      <c r="F28" s="32">
        <f>E28*F25</f>
        <v>93.903249999999971</v>
      </c>
      <c r="G28" s="105"/>
      <c r="H28" s="106"/>
      <c r="I28" s="109"/>
      <c r="J28" s="108"/>
      <c r="K28" s="108"/>
      <c r="L28" s="108"/>
      <c r="M28" s="106"/>
    </row>
    <row r="29" spans="1:13" s="10" customFormat="1" ht="20.25" hidden="1" customHeight="1" outlineLevel="1" x14ac:dyDescent="0.2">
      <c r="A29" s="48"/>
      <c r="B29" s="31"/>
      <c r="C29" s="6" t="s">
        <v>64</v>
      </c>
      <c r="D29" s="133" t="s">
        <v>7</v>
      </c>
      <c r="E29" s="32">
        <v>0.02</v>
      </c>
      <c r="F29" s="32">
        <f>E29*F25</f>
        <v>1.6330999999999998</v>
      </c>
      <c r="G29" s="105"/>
      <c r="H29" s="106"/>
      <c r="I29" s="109"/>
      <c r="J29" s="108"/>
      <c r="K29" s="108"/>
      <c r="L29" s="108"/>
      <c r="M29" s="106"/>
    </row>
    <row r="30" spans="1:13" s="10" customFormat="1" ht="18.75" hidden="1" customHeight="1" outlineLevel="1" x14ac:dyDescent="0.2">
      <c r="A30" s="48" t="s">
        <v>123</v>
      </c>
      <c r="B30" s="31"/>
      <c r="C30" s="6"/>
      <c r="D30" s="133"/>
      <c r="E30" s="32"/>
      <c r="F30" s="8"/>
      <c r="G30" s="105"/>
      <c r="H30" s="106"/>
      <c r="I30" s="109"/>
      <c r="J30" s="108"/>
      <c r="K30" s="108"/>
      <c r="L30" s="108"/>
      <c r="M30" s="106"/>
    </row>
    <row r="31" spans="1:13" s="12" customFormat="1" ht="38.25" customHeight="1" collapsed="1" x14ac:dyDescent="0.25">
      <c r="A31" s="48">
        <v>1.5</v>
      </c>
      <c r="B31" s="75" t="s">
        <v>71</v>
      </c>
      <c r="C31" s="6" t="s">
        <v>178</v>
      </c>
      <c r="D31" s="133" t="s">
        <v>34</v>
      </c>
      <c r="E31" s="191"/>
      <c r="F31" s="8">
        <f>(168.2+13.5+24.5+36+42.9+12.96+15.6+12.96)/0.4*0.1</f>
        <v>81.654999999999987</v>
      </c>
      <c r="G31" s="101"/>
      <c r="H31" s="101"/>
      <c r="I31" s="102"/>
      <c r="J31" s="103"/>
      <c r="K31" s="103"/>
      <c r="L31" s="103"/>
      <c r="M31" s="104"/>
    </row>
    <row r="32" spans="1:13" s="10" customFormat="1" ht="20.25" hidden="1" customHeight="1" outlineLevel="1" x14ac:dyDescent="0.2">
      <c r="A32" s="48"/>
      <c r="B32" s="31" t="s">
        <v>25</v>
      </c>
      <c r="C32" s="6" t="s">
        <v>36</v>
      </c>
      <c r="D32" s="133" t="s">
        <v>34</v>
      </c>
      <c r="E32" s="32">
        <v>1</v>
      </c>
      <c r="F32" s="8">
        <f>E32*F31</f>
        <v>81.654999999999987</v>
      </c>
      <c r="G32" s="105"/>
      <c r="H32" s="106"/>
      <c r="I32" s="107"/>
      <c r="J32" s="108"/>
      <c r="K32" s="108"/>
      <c r="L32" s="108"/>
      <c r="M32" s="106"/>
    </row>
    <row r="33" spans="1:13" s="80" customFormat="1" ht="20.25" hidden="1" customHeight="1" outlineLevel="1" x14ac:dyDescent="0.25">
      <c r="A33" s="76"/>
      <c r="B33" s="77"/>
      <c r="C33" s="44" t="s">
        <v>55</v>
      </c>
      <c r="D33" s="78" t="s">
        <v>7</v>
      </c>
      <c r="E33" s="79">
        <f>28.3/100</f>
        <v>0.28300000000000003</v>
      </c>
      <c r="F33" s="79">
        <f>E33*F31</f>
        <v>23.108364999999999</v>
      </c>
      <c r="G33" s="110"/>
      <c r="H33" s="98"/>
      <c r="I33" s="98"/>
      <c r="J33" s="98"/>
      <c r="K33" s="98"/>
      <c r="L33" s="98"/>
      <c r="M33" s="98"/>
    </row>
    <row r="34" spans="1:13" s="10" customFormat="1" ht="20.25" hidden="1" customHeight="1" outlineLevel="1" x14ac:dyDescent="0.2">
      <c r="A34" s="48"/>
      <c r="B34" s="31" t="s">
        <v>17</v>
      </c>
      <c r="C34" s="6" t="s">
        <v>35</v>
      </c>
      <c r="D34" s="133" t="s">
        <v>34</v>
      </c>
      <c r="E34" s="35">
        <v>1.02</v>
      </c>
      <c r="F34" s="32">
        <f>E34*F31</f>
        <v>83.288099999999986</v>
      </c>
      <c r="G34" s="105"/>
      <c r="H34" s="106"/>
      <c r="I34" s="109"/>
      <c r="J34" s="108"/>
      <c r="K34" s="108"/>
      <c r="L34" s="108"/>
      <c r="M34" s="106"/>
    </row>
    <row r="35" spans="1:13" s="84" customFormat="1" ht="17.25" hidden="1" customHeight="1" outlineLevel="1" x14ac:dyDescent="0.25">
      <c r="A35" s="13"/>
      <c r="B35" s="77"/>
      <c r="C35" s="57" t="s">
        <v>64</v>
      </c>
      <c r="D35" s="81" t="s">
        <v>7</v>
      </c>
      <c r="E35" s="85">
        <v>0.62</v>
      </c>
      <c r="F35" s="79">
        <f>E35*F31</f>
        <v>50.626099999999994</v>
      </c>
      <c r="G35" s="111"/>
      <c r="H35" s="112"/>
      <c r="I35" s="112"/>
      <c r="J35" s="112"/>
      <c r="K35" s="112"/>
      <c r="L35" s="112"/>
      <c r="M35" s="98"/>
    </row>
    <row r="36" spans="1:13" s="10" customFormat="1" ht="20.25" hidden="1" customHeight="1" outlineLevel="1" x14ac:dyDescent="0.2">
      <c r="A36" s="48"/>
      <c r="B36" s="31"/>
      <c r="C36" s="6"/>
      <c r="D36" s="133"/>
      <c r="E36" s="32"/>
      <c r="F36" s="8"/>
      <c r="G36" s="105"/>
      <c r="H36" s="106"/>
      <c r="I36" s="109"/>
      <c r="J36" s="108"/>
      <c r="K36" s="108"/>
      <c r="L36" s="108"/>
      <c r="M36" s="106"/>
    </row>
    <row r="37" spans="1:13" s="12" customFormat="1" ht="31.5" customHeight="1" collapsed="1" x14ac:dyDescent="0.25">
      <c r="A37" s="48">
        <v>1.6</v>
      </c>
      <c r="B37" s="75" t="s">
        <v>65</v>
      </c>
      <c r="C37" s="6" t="s">
        <v>179</v>
      </c>
      <c r="D37" s="133" t="s">
        <v>34</v>
      </c>
      <c r="E37" s="191"/>
      <c r="F37" s="32">
        <f>42.9+12.96+15.6+12.96</f>
        <v>84.419999999999987</v>
      </c>
      <c r="G37" s="101"/>
      <c r="H37" s="101"/>
      <c r="I37" s="102"/>
      <c r="J37" s="103"/>
      <c r="K37" s="103"/>
      <c r="L37" s="103"/>
      <c r="M37" s="104"/>
    </row>
    <row r="38" spans="1:13" s="10" customFormat="1" ht="20.25" hidden="1" customHeight="1" outlineLevel="1" x14ac:dyDescent="0.2">
      <c r="A38" s="48"/>
      <c r="B38" s="31" t="s">
        <v>25</v>
      </c>
      <c r="C38" s="6" t="s">
        <v>36</v>
      </c>
      <c r="D38" s="133" t="s">
        <v>34</v>
      </c>
      <c r="E38" s="32">
        <v>1</v>
      </c>
      <c r="F38" s="8">
        <f>E38*F37</f>
        <v>84.419999999999987</v>
      </c>
      <c r="G38" s="105"/>
      <c r="H38" s="106"/>
      <c r="I38" s="107"/>
      <c r="J38" s="108"/>
      <c r="K38" s="108"/>
      <c r="L38" s="108"/>
      <c r="M38" s="106"/>
    </row>
    <row r="39" spans="1:13" s="80" customFormat="1" ht="20.25" hidden="1" customHeight="1" outlineLevel="1" x14ac:dyDescent="0.25">
      <c r="A39" s="76"/>
      <c r="B39" s="77"/>
      <c r="C39" s="44" t="s">
        <v>55</v>
      </c>
      <c r="D39" s="78" t="s">
        <v>7</v>
      </c>
      <c r="E39" s="79">
        <f>59/100</f>
        <v>0.59</v>
      </c>
      <c r="F39" s="79">
        <f>E39*F37</f>
        <v>49.807799999999993</v>
      </c>
      <c r="G39" s="110"/>
      <c r="H39" s="98"/>
      <c r="I39" s="98"/>
      <c r="J39" s="98"/>
      <c r="K39" s="98"/>
      <c r="L39" s="98"/>
      <c r="M39" s="98"/>
    </row>
    <row r="40" spans="1:13" s="10" customFormat="1" ht="20.25" hidden="1" customHeight="1" outlineLevel="1" x14ac:dyDescent="0.2">
      <c r="A40" s="48"/>
      <c r="B40" s="77" t="s">
        <v>17</v>
      </c>
      <c r="C40" s="6" t="s">
        <v>35</v>
      </c>
      <c r="D40" s="133" t="s">
        <v>34</v>
      </c>
      <c r="E40" s="35">
        <v>1.0149999999999999</v>
      </c>
      <c r="F40" s="32">
        <f>E40*F37</f>
        <v>85.686299999999974</v>
      </c>
      <c r="G40" s="105"/>
      <c r="H40" s="106"/>
      <c r="I40" s="109"/>
      <c r="J40" s="108"/>
      <c r="K40" s="108"/>
      <c r="L40" s="108"/>
      <c r="M40" s="106"/>
    </row>
    <row r="41" spans="1:13" s="10" customFormat="1" ht="20.25" hidden="1" customHeight="1" outlineLevel="1" x14ac:dyDescent="0.2">
      <c r="A41" s="48"/>
      <c r="B41" s="77" t="s">
        <v>17</v>
      </c>
      <c r="C41" s="6" t="s">
        <v>30</v>
      </c>
      <c r="D41" s="133" t="s">
        <v>15</v>
      </c>
      <c r="E41" s="35"/>
      <c r="F41" s="32">
        <f>(1405.6+396.1)/1000</f>
        <v>1.8016999999999999</v>
      </c>
      <c r="G41" s="105"/>
      <c r="H41" s="106"/>
      <c r="I41" s="109"/>
      <c r="J41" s="108"/>
      <c r="K41" s="108"/>
      <c r="L41" s="108"/>
      <c r="M41" s="106"/>
    </row>
    <row r="42" spans="1:13" s="10" customFormat="1" ht="20.25" hidden="1" customHeight="1" outlineLevel="1" x14ac:dyDescent="0.2">
      <c r="A42" s="48"/>
      <c r="B42" s="77" t="s">
        <v>17</v>
      </c>
      <c r="C42" s="6" t="s">
        <v>32</v>
      </c>
      <c r="D42" s="133" t="s">
        <v>15</v>
      </c>
      <c r="E42" s="35"/>
      <c r="F42" s="32">
        <f>(118.3*12)/1000</f>
        <v>1.4196</v>
      </c>
      <c r="G42" s="105"/>
      <c r="H42" s="106"/>
      <c r="I42" s="109"/>
      <c r="J42" s="108"/>
      <c r="K42" s="108"/>
      <c r="L42" s="108"/>
      <c r="M42" s="106"/>
    </row>
    <row r="43" spans="1:13" s="10" customFormat="1" ht="20.25" hidden="1" customHeight="1" outlineLevel="1" x14ac:dyDescent="0.2">
      <c r="A43" s="48"/>
      <c r="B43" s="77" t="s">
        <v>17</v>
      </c>
      <c r="C43" s="6" t="s">
        <v>33</v>
      </c>
      <c r="D43" s="133" t="s">
        <v>15</v>
      </c>
      <c r="E43" s="35"/>
      <c r="F43" s="32">
        <f>(117.4*6)/1000</f>
        <v>0.70440000000000014</v>
      </c>
      <c r="G43" s="105"/>
      <c r="H43" s="106"/>
      <c r="I43" s="109"/>
      <c r="J43" s="108"/>
      <c r="K43" s="108"/>
      <c r="L43" s="108"/>
      <c r="M43" s="106"/>
    </row>
    <row r="44" spans="1:13" s="84" customFormat="1" ht="17.25" hidden="1" customHeight="1" outlineLevel="1" x14ac:dyDescent="0.25">
      <c r="A44" s="13"/>
      <c r="B44" s="77" t="s">
        <v>17</v>
      </c>
      <c r="C44" s="57" t="s">
        <v>68</v>
      </c>
      <c r="D44" s="81" t="s">
        <v>69</v>
      </c>
      <c r="E44" s="82"/>
      <c r="F44" s="79">
        <f>(F41+F42+F43)*10</f>
        <v>39.256999999999998</v>
      </c>
      <c r="G44" s="111"/>
      <c r="H44" s="112"/>
      <c r="I44" s="112"/>
      <c r="J44" s="112"/>
      <c r="K44" s="112"/>
      <c r="L44" s="112"/>
      <c r="M44" s="98"/>
    </row>
    <row r="45" spans="1:13" s="84" customFormat="1" ht="17.25" hidden="1" customHeight="1" outlineLevel="1" x14ac:dyDescent="0.25">
      <c r="A45" s="13"/>
      <c r="B45" s="77" t="s">
        <v>17</v>
      </c>
      <c r="C45" s="57" t="s">
        <v>66</v>
      </c>
      <c r="D45" s="81" t="s">
        <v>4</v>
      </c>
      <c r="E45" s="82"/>
      <c r="F45" s="79">
        <f>1.8*4*33*0.5+(3*2+1.8*2)*6*0.5+1.8*4*6*0.5+(3*2+1.8*2)*6*0.5</f>
        <v>198</v>
      </c>
      <c r="G45" s="111"/>
      <c r="H45" s="112"/>
      <c r="I45" s="112"/>
      <c r="J45" s="112"/>
      <c r="K45" s="112"/>
      <c r="L45" s="112"/>
      <c r="M45" s="98"/>
    </row>
    <row r="46" spans="1:13" s="84" customFormat="1" ht="17.25" hidden="1" customHeight="1" outlineLevel="1" x14ac:dyDescent="0.25">
      <c r="A46" s="13"/>
      <c r="B46" s="77" t="s">
        <v>17</v>
      </c>
      <c r="C46" s="57" t="s">
        <v>67</v>
      </c>
      <c r="D46" s="81" t="s">
        <v>34</v>
      </c>
      <c r="E46" s="85">
        <f>1.83/100</f>
        <v>1.83E-2</v>
      </c>
      <c r="F46" s="79">
        <f>E46*F37</f>
        <v>1.5448859999999998</v>
      </c>
      <c r="G46" s="111"/>
      <c r="H46" s="112"/>
      <c r="I46" s="112"/>
      <c r="J46" s="112"/>
      <c r="K46" s="112"/>
      <c r="L46" s="112"/>
      <c r="M46" s="98"/>
    </row>
    <row r="47" spans="1:13" s="84" customFormat="1" ht="17.25" hidden="1" customHeight="1" outlineLevel="1" x14ac:dyDescent="0.25">
      <c r="A47" s="13"/>
      <c r="B47" s="77"/>
      <c r="C47" s="57" t="s">
        <v>64</v>
      </c>
      <c r="D47" s="81" t="s">
        <v>7</v>
      </c>
      <c r="E47" s="85">
        <v>0.4</v>
      </c>
      <c r="F47" s="79">
        <f>E47*F37</f>
        <v>33.767999999999994</v>
      </c>
      <c r="G47" s="111"/>
      <c r="H47" s="112"/>
      <c r="I47" s="112"/>
      <c r="J47" s="112"/>
      <c r="K47" s="112"/>
      <c r="L47" s="112"/>
      <c r="M47" s="98"/>
    </row>
    <row r="48" spans="1:13" s="10" customFormat="1" ht="20.25" hidden="1" customHeight="1" outlineLevel="1" x14ac:dyDescent="0.2">
      <c r="A48" s="48"/>
      <c r="B48" s="31"/>
      <c r="C48" s="6"/>
      <c r="D48" s="133"/>
      <c r="E48" s="32"/>
      <c r="F48" s="8"/>
      <c r="G48" s="105"/>
      <c r="H48" s="106"/>
      <c r="I48" s="109"/>
      <c r="J48" s="108"/>
      <c r="K48" s="108"/>
      <c r="L48" s="108"/>
      <c r="M48" s="106"/>
    </row>
    <row r="49" spans="1:13" s="12" customFormat="1" ht="32.25" customHeight="1" collapsed="1" x14ac:dyDescent="0.25">
      <c r="A49" s="48">
        <v>1.7</v>
      </c>
      <c r="B49" s="37" t="s">
        <v>199</v>
      </c>
      <c r="C49" s="6" t="s">
        <v>180</v>
      </c>
      <c r="D49" s="133" t="s">
        <v>34</v>
      </c>
      <c r="E49" s="191"/>
      <c r="F49" s="32">
        <f>168.2+13.5+24.5+36</f>
        <v>242.2</v>
      </c>
      <c r="G49" s="101"/>
      <c r="H49" s="101"/>
      <c r="I49" s="102"/>
      <c r="J49" s="103"/>
      <c r="K49" s="103"/>
      <c r="L49" s="103"/>
      <c r="M49" s="104"/>
    </row>
    <row r="50" spans="1:13" s="10" customFormat="1" ht="24.75" hidden="1" customHeight="1" outlineLevel="1" x14ac:dyDescent="0.2">
      <c r="A50" s="48"/>
      <c r="B50" s="31" t="s">
        <v>25</v>
      </c>
      <c r="C50" s="6" t="s">
        <v>36</v>
      </c>
      <c r="D50" s="133" t="s">
        <v>34</v>
      </c>
      <c r="E50" s="32">
        <v>1</v>
      </c>
      <c r="F50" s="8">
        <f>E50*F49</f>
        <v>242.2</v>
      </c>
      <c r="G50" s="105"/>
      <c r="H50" s="106"/>
      <c r="I50" s="107"/>
      <c r="J50" s="108"/>
      <c r="K50" s="108"/>
      <c r="L50" s="108"/>
      <c r="M50" s="106"/>
    </row>
    <row r="51" spans="1:13" s="80" customFormat="1" ht="20.25" hidden="1" customHeight="1" outlineLevel="1" x14ac:dyDescent="0.25">
      <c r="A51" s="76"/>
      <c r="B51" s="77"/>
      <c r="C51" s="44" t="s">
        <v>55</v>
      </c>
      <c r="D51" s="78" t="s">
        <v>7</v>
      </c>
      <c r="E51" s="79">
        <v>0.92</v>
      </c>
      <c r="F51" s="79">
        <f>E51*F49</f>
        <v>222.82400000000001</v>
      </c>
      <c r="G51" s="110"/>
      <c r="H51" s="98"/>
      <c r="I51" s="98"/>
      <c r="J51" s="98"/>
      <c r="K51" s="98"/>
      <c r="L51" s="98"/>
      <c r="M51" s="98"/>
    </row>
    <row r="52" spans="1:13" s="10" customFormat="1" ht="20.25" hidden="1" customHeight="1" outlineLevel="1" x14ac:dyDescent="0.2">
      <c r="A52" s="48"/>
      <c r="B52" s="77" t="s">
        <v>17</v>
      </c>
      <c r="C52" s="6" t="s">
        <v>35</v>
      </c>
      <c r="D52" s="133" t="s">
        <v>34</v>
      </c>
      <c r="E52" s="35">
        <v>1.0149999999999999</v>
      </c>
      <c r="F52" s="32">
        <f>E52*F49</f>
        <v>245.83299999999997</v>
      </c>
      <c r="G52" s="105"/>
      <c r="H52" s="106"/>
      <c r="I52" s="109"/>
      <c r="J52" s="108"/>
      <c r="K52" s="108"/>
      <c r="L52" s="108"/>
      <c r="M52" s="106"/>
    </row>
    <row r="53" spans="1:13" s="10" customFormat="1" ht="20.25" hidden="1" customHeight="1" outlineLevel="1" x14ac:dyDescent="0.2">
      <c r="A53" s="48"/>
      <c r="B53" s="77" t="s">
        <v>17</v>
      </c>
      <c r="C53" s="6" t="s">
        <v>30</v>
      </c>
      <c r="D53" s="133" t="s">
        <v>15</v>
      </c>
      <c r="E53" s="35"/>
      <c r="F53" s="32">
        <f>(2249.5+2249.5+4902+169.5+169.5+394.5+575+575)/1000</f>
        <v>11.2845</v>
      </c>
      <c r="G53" s="105"/>
      <c r="H53" s="106"/>
      <c r="I53" s="109"/>
      <c r="J53" s="108"/>
      <c r="K53" s="108"/>
      <c r="L53" s="108"/>
      <c r="M53" s="106"/>
    </row>
    <row r="54" spans="1:13" s="10" customFormat="1" ht="20.25" hidden="1" customHeight="1" outlineLevel="1" x14ac:dyDescent="0.2">
      <c r="A54" s="48"/>
      <c r="B54" s="77" t="s">
        <v>17</v>
      </c>
      <c r="C54" s="6" t="s">
        <v>33</v>
      </c>
      <c r="D54" s="133" t="s">
        <v>15</v>
      </c>
      <c r="E54" s="35"/>
      <c r="F54" s="32">
        <f>(1577.5+1577.5)/1000</f>
        <v>3.1549999999999998</v>
      </c>
      <c r="G54" s="105"/>
      <c r="H54" s="106"/>
      <c r="I54" s="109"/>
      <c r="J54" s="108"/>
      <c r="K54" s="108"/>
      <c r="L54" s="108"/>
      <c r="M54" s="106"/>
    </row>
    <row r="55" spans="1:13" s="10" customFormat="1" ht="20.25" hidden="1" customHeight="1" outlineLevel="1" x14ac:dyDescent="0.2">
      <c r="A55" s="48"/>
      <c r="B55" s="77" t="s">
        <v>17</v>
      </c>
      <c r="C55" s="6" t="s">
        <v>37</v>
      </c>
      <c r="D55" s="133" t="s">
        <v>15</v>
      </c>
      <c r="E55" s="35"/>
      <c r="F55" s="32">
        <f>(532.4+40.2+1009.5+1590.9)/1000</f>
        <v>3.173</v>
      </c>
      <c r="G55" s="105"/>
      <c r="H55" s="106"/>
      <c r="I55" s="109"/>
      <c r="J55" s="108"/>
      <c r="K55" s="108"/>
      <c r="L55" s="108"/>
      <c r="M55" s="106"/>
    </row>
    <row r="56" spans="1:13" s="84" customFormat="1" ht="17.25" hidden="1" customHeight="1" outlineLevel="1" x14ac:dyDescent="0.25">
      <c r="A56" s="13"/>
      <c r="B56" s="77" t="s">
        <v>17</v>
      </c>
      <c r="C56" s="57" t="s">
        <v>68</v>
      </c>
      <c r="D56" s="81" t="s">
        <v>69</v>
      </c>
      <c r="E56" s="82"/>
      <c r="F56" s="79">
        <f>(F53+F54+F55)*10</f>
        <v>176.12499999999997</v>
      </c>
      <c r="G56" s="111"/>
      <c r="H56" s="112"/>
      <c r="I56" s="112"/>
      <c r="J56" s="112"/>
      <c r="K56" s="112"/>
      <c r="L56" s="112"/>
      <c r="M56" s="98"/>
    </row>
    <row r="57" spans="1:13" s="84" customFormat="1" ht="17.25" hidden="1" customHeight="1" outlineLevel="1" x14ac:dyDescent="0.25">
      <c r="A57" s="13"/>
      <c r="B57" s="77" t="s">
        <v>17</v>
      </c>
      <c r="C57" s="57" t="s">
        <v>66</v>
      </c>
      <c r="D57" s="81" t="s">
        <v>4</v>
      </c>
      <c r="E57" s="82"/>
      <c r="F57" s="79">
        <f>(175.2+17.77+102.08+150)*0.5</f>
        <v>222.52500000000001</v>
      </c>
      <c r="G57" s="111"/>
      <c r="H57" s="112"/>
      <c r="I57" s="112"/>
      <c r="J57" s="112"/>
      <c r="K57" s="112"/>
      <c r="L57" s="112"/>
      <c r="M57" s="98"/>
    </row>
    <row r="58" spans="1:13" s="84" customFormat="1" ht="17.25" hidden="1" customHeight="1" outlineLevel="1" x14ac:dyDescent="0.25">
      <c r="A58" s="13"/>
      <c r="B58" s="77" t="s">
        <v>17</v>
      </c>
      <c r="C58" s="57" t="s">
        <v>67</v>
      </c>
      <c r="D58" s="81" t="s">
        <v>34</v>
      </c>
      <c r="E58" s="85">
        <f>1.14/100</f>
        <v>1.1399999999999999E-2</v>
      </c>
      <c r="F58" s="79">
        <f>E58*F49</f>
        <v>2.7610799999999998</v>
      </c>
      <c r="G58" s="111"/>
      <c r="H58" s="112"/>
      <c r="I58" s="112"/>
      <c r="J58" s="112"/>
      <c r="K58" s="112"/>
      <c r="L58" s="112"/>
      <c r="M58" s="98"/>
    </row>
    <row r="59" spans="1:13" s="84" customFormat="1" ht="21.75" hidden="1" customHeight="1" outlineLevel="1" x14ac:dyDescent="0.25">
      <c r="A59" s="13"/>
      <c r="B59" s="77"/>
      <c r="C59" s="57" t="s">
        <v>64</v>
      </c>
      <c r="D59" s="81" t="s">
        <v>7</v>
      </c>
      <c r="E59" s="85">
        <v>0.6</v>
      </c>
      <c r="F59" s="79">
        <f>E59*F49</f>
        <v>145.32</v>
      </c>
      <c r="G59" s="111"/>
      <c r="H59" s="112"/>
      <c r="I59" s="112"/>
      <c r="J59" s="112"/>
      <c r="K59" s="112"/>
      <c r="L59" s="112"/>
      <c r="M59" s="98"/>
    </row>
    <row r="60" spans="1:13" s="10" customFormat="1" ht="20.25" hidden="1" customHeight="1" outlineLevel="1" x14ac:dyDescent="0.2">
      <c r="A60" s="48"/>
      <c r="B60" s="31"/>
      <c r="C60" s="6"/>
      <c r="D60" s="133"/>
      <c r="E60" s="35"/>
      <c r="F60" s="32"/>
      <c r="G60" s="105"/>
      <c r="H60" s="106"/>
      <c r="I60" s="109"/>
      <c r="J60" s="108"/>
      <c r="K60" s="108"/>
      <c r="L60" s="108"/>
      <c r="M60" s="106"/>
    </row>
    <row r="61" spans="1:13" s="12" customFormat="1" ht="31.5" customHeight="1" collapsed="1" x14ac:dyDescent="0.25">
      <c r="A61" s="48">
        <v>1.8</v>
      </c>
      <c r="B61" s="37" t="s">
        <v>72</v>
      </c>
      <c r="C61" s="6" t="s">
        <v>181</v>
      </c>
      <c r="D61" s="133" t="s">
        <v>15</v>
      </c>
      <c r="E61" s="191"/>
      <c r="F61" s="8">
        <f>(1350.8+2476.6+391.1+7894.9)/1000</f>
        <v>12.1134</v>
      </c>
      <c r="G61" s="101"/>
      <c r="H61" s="101"/>
      <c r="I61" s="102"/>
      <c r="J61" s="103"/>
      <c r="K61" s="103"/>
      <c r="L61" s="103"/>
      <c r="M61" s="104"/>
    </row>
    <row r="62" spans="1:13" s="10" customFormat="1" ht="21" hidden="1" customHeight="1" outlineLevel="1" x14ac:dyDescent="0.2">
      <c r="A62" s="48"/>
      <c r="B62" s="31" t="s">
        <v>25</v>
      </c>
      <c r="C62" s="6" t="s">
        <v>36</v>
      </c>
      <c r="D62" s="133" t="s">
        <v>15</v>
      </c>
      <c r="E62" s="32">
        <v>1</v>
      </c>
      <c r="F62" s="8">
        <f>E62*F61</f>
        <v>12.1134</v>
      </c>
      <c r="G62" s="105"/>
      <c r="H62" s="106"/>
      <c r="I62" s="107"/>
      <c r="J62" s="108"/>
      <c r="K62" s="108"/>
      <c r="L62" s="108"/>
      <c r="M62" s="106"/>
    </row>
    <row r="63" spans="1:13" s="80" customFormat="1" ht="20.25" hidden="1" customHeight="1" outlineLevel="1" x14ac:dyDescent="0.25">
      <c r="A63" s="76"/>
      <c r="B63" s="77"/>
      <c r="C63" s="44" t="s">
        <v>55</v>
      </c>
      <c r="D63" s="78" t="s">
        <v>7</v>
      </c>
      <c r="E63" s="79">
        <v>2.33</v>
      </c>
      <c r="F63" s="79">
        <f>E63*F61</f>
        <v>28.224222000000001</v>
      </c>
      <c r="G63" s="110"/>
      <c r="H63" s="98"/>
      <c r="I63" s="98"/>
      <c r="J63" s="98"/>
      <c r="K63" s="98"/>
      <c r="L63" s="98"/>
      <c r="M63" s="98"/>
    </row>
    <row r="64" spans="1:13" s="10" customFormat="1" ht="20.25" hidden="1" customHeight="1" outlineLevel="1" x14ac:dyDescent="0.2">
      <c r="A64" s="48"/>
      <c r="B64" s="31" t="s">
        <v>17</v>
      </c>
      <c r="C64" s="6" t="s">
        <v>38</v>
      </c>
      <c r="D64" s="133" t="s">
        <v>15</v>
      </c>
      <c r="E64" s="35"/>
      <c r="F64" s="32">
        <f>(1542.1+1686+28.8)/1000</f>
        <v>3.2568999999999999</v>
      </c>
      <c r="G64" s="105"/>
      <c r="H64" s="106"/>
      <c r="I64" s="107"/>
      <c r="J64" s="108"/>
      <c r="K64" s="108"/>
      <c r="L64" s="108"/>
      <c r="M64" s="106"/>
    </row>
    <row r="65" spans="1:13" s="10" customFormat="1" ht="20.25" hidden="1" customHeight="1" outlineLevel="1" x14ac:dyDescent="0.2">
      <c r="A65" s="48"/>
      <c r="B65" s="31" t="s">
        <v>17</v>
      </c>
      <c r="C65" s="6" t="s">
        <v>31</v>
      </c>
      <c r="D65" s="133" t="s">
        <v>15</v>
      </c>
      <c r="E65" s="35"/>
      <c r="F65" s="32">
        <f>4638/1000</f>
        <v>4.6379999999999999</v>
      </c>
      <c r="G65" s="105"/>
      <c r="H65" s="106"/>
      <c r="I65" s="107"/>
      <c r="J65" s="108"/>
      <c r="K65" s="108"/>
      <c r="L65" s="108"/>
      <c r="M65" s="106"/>
    </row>
    <row r="66" spans="1:13" s="10" customFormat="1" ht="20.25" hidden="1" customHeight="1" outlineLevel="1" x14ac:dyDescent="0.2">
      <c r="A66" s="48"/>
      <c r="B66" s="31" t="s">
        <v>17</v>
      </c>
      <c r="C66" s="6" t="s">
        <v>33</v>
      </c>
      <c r="D66" s="133" t="s">
        <v>15</v>
      </c>
      <c r="E66" s="35"/>
      <c r="F66" s="32">
        <f>(1287.3+378.6)/1000</f>
        <v>1.6659000000000002</v>
      </c>
      <c r="G66" s="105"/>
      <c r="H66" s="106"/>
      <c r="I66" s="107"/>
      <c r="J66" s="108"/>
      <c r="K66" s="108"/>
      <c r="L66" s="108"/>
      <c r="M66" s="106"/>
    </row>
    <row r="67" spans="1:13" s="10" customFormat="1" ht="20.25" hidden="1" customHeight="1" outlineLevel="1" x14ac:dyDescent="0.2">
      <c r="A67" s="48"/>
      <c r="B67" s="31" t="s">
        <v>17</v>
      </c>
      <c r="C67" s="6" t="s">
        <v>32</v>
      </c>
      <c r="D67" s="133" t="s">
        <v>15</v>
      </c>
      <c r="E67" s="35"/>
      <c r="F67" s="32">
        <f>(2425.5)/1000</f>
        <v>2.4255</v>
      </c>
      <c r="G67" s="105"/>
      <c r="H67" s="106"/>
      <c r="I67" s="107"/>
      <c r="J67" s="108"/>
      <c r="K67" s="108"/>
      <c r="L67" s="108"/>
      <c r="M67" s="106"/>
    </row>
    <row r="68" spans="1:13" s="10" customFormat="1" ht="20.25" hidden="1" customHeight="1" outlineLevel="1" x14ac:dyDescent="0.2">
      <c r="A68" s="48"/>
      <c r="B68" s="31" t="s">
        <v>17</v>
      </c>
      <c r="C68" s="6" t="s">
        <v>37</v>
      </c>
      <c r="D68" s="133" t="s">
        <v>15</v>
      </c>
      <c r="E68" s="35"/>
      <c r="F68" s="32">
        <f>(63.6+51.1+12.5)/1000</f>
        <v>0.12720000000000001</v>
      </c>
      <c r="G68" s="105"/>
      <c r="H68" s="106"/>
      <c r="I68" s="107"/>
      <c r="J68" s="108"/>
      <c r="K68" s="108"/>
      <c r="L68" s="108"/>
      <c r="M68" s="106"/>
    </row>
    <row r="69" spans="1:13" s="10" customFormat="1" ht="20.25" hidden="1" customHeight="1" outlineLevel="1" x14ac:dyDescent="0.2">
      <c r="A69" s="48"/>
      <c r="B69" s="31" t="s">
        <v>17</v>
      </c>
      <c r="C69" s="6" t="s">
        <v>73</v>
      </c>
      <c r="D69" s="133" t="s">
        <v>69</v>
      </c>
      <c r="E69" s="35">
        <v>9.1999999999999993</v>
      </c>
      <c r="F69" s="32">
        <f>E69*F61</f>
        <v>111.44328</v>
      </c>
      <c r="G69" s="105"/>
      <c r="H69" s="106"/>
      <c r="I69" s="107"/>
      <c r="J69" s="108"/>
      <c r="K69" s="108"/>
      <c r="L69" s="108"/>
      <c r="M69" s="106"/>
    </row>
    <row r="70" spans="1:13" s="84" customFormat="1" ht="21.75" hidden="1" customHeight="1" outlineLevel="1" x14ac:dyDescent="0.25">
      <c r="A70" s="13"/>
      <c r="B70" s="77"/>
      <c r="C70" s="57" t="s">
        <v>64</v>
      </c>
      <c r="D70" s="81" t="s">
        <v>7</v>
      </c>
      <c r="E70" s="85">
        <v>1.92</v>
      </c>
      <c r="F70" s="79">
        <f>E70*F61</f>
        <v>23.257728</v>
      </c>
      <c r="G70" s="111"/>
      <c r="H70" s="112"/>
      <c r="I70" s="112"/>
      <c r="J70" s="112"/>
      <c r="K70" s="112"/>
      <c r="L70" s="112"/>
      <c r="M70" s="98"/>
    </row>
    <row r="71" spans="1:13" s="10" customFormat="1" ht="15.75" hidden="1" customHeight="1" outlineLevel="1" x14ac:dyDescent="0.2">
      <c r="A71" s="48"/>
      <c r="B71" s="31"/>
      <c r="C71" s="6"/>
      <c r="D71" s="133"/>
      <c r="E71" s="32"/>
      <c r="F71" s="8"/>
      <c r="G71" s="105"/>
      <c r="H71" s="106"/>
      <c r="I71" s="109"/>
      <c r="J71" s="108"/>
      <c r="K71" s="108"/>
      <c r="L71" s="108"/>
      <c r="M71" s="106"/>
    </row>
    <row r="72" spans="1:13" s="12" customFormat="1" ht="41.25" customHeight="1" collapsed="1" x14ac:dyDescent="0.25">
      <c r="A72" s="42">
        <v>1.9</v>
      </c>
      <c r="B72" s="37" t="s">
        <v>74</v>
      </c>
      <c r="C72" s="44" t="s">
        <v>182</v>
      </c>
      <c r="D72" s="45" t="s">
        <v>34</v>
      </c>
      <c r="E72" s="76"/>
      <c r="F72" s="46">
        <f>9.79+7.87+1.92</f>
        <v>19.579999999999998</v>
      </c>
      <c r="G72" s="113"/>
      <c r="H72" s="113"/>
      <c r="I72" s="102"/>
      <c r="J72" s="114"/>
      <c r="K72" s="114"/>
      <c r="L72" s="114"/>
      <c r="M72" s="115"/>
    </row>
    <row r="73" spans="1:13" s="10" customFormat="1" ht="21.75" hidden="1" customHeight="1" outlineLevel="1" x14ac:dyDescent="0.2">
      <c r="A73" s="42"/>
      <c r="B73" s="43" t="s">
        <v>25</v>
      </c>
      <c r="C73" s="44" t="s">
        <v>13</v>
      </c>
      <c r="D73" s="45" t="s">
        <v>34</v>
      </c>
      <c r="E73" s="46">
        <v>1</v>
      </c>
      <c r="F73" s="47">
        <f>F72*E73</f>
        <v>19.579999999999998</v>
      </c>
      <c r="G73" s="116"/>
      <c r="H73" s="117"/>
      <c r="I73" s="107"/>
      <c r="J73" s="98"/>
      <c r="K73" s="98"/>
      <c r="L73" s="98"/>
      <c r="M73" s="117"/>
    </row>
    <row r="74" spans="1:13" s="80" customFormat="1" ht="21.75" hidden="1" customHeight="1" outlineLevel="1" x14ac:dyDescent="0.25">
      <c r="A74" s="76"/>
      <c r="B74" s="77"/>
      <c r="C74" s="44" t="s">
        <v>55</v>
      </c>
      <c r="D74" s="78" t="s">
        <v>7</v>
      </c>
      <c r="E74" s="79">
        <v>3.36</v>
      </c>
      <c r="F74" s="79">
        <f>E74*F72</f>
        <v>65.788799999999995</v>
      </c>
      <c r="G74" s="110"/>
      <c r="H74" s="98"/>
      <c r="I74" s="98"/>
      <c r="J74" s="98"/>
      <c r="K74" s="98"/>
      <c r="L74" s="98"/>
      <c r="M74" s="98"/>
    </row>
    <row r="75" spans="1:13" s="10" customFormat="1" ht="19.5" hidden="1" customHeight="1" outlineLevel="1" x14ac:dyDescent="0.2">
      <c r="A75" s="42"/>
      <c r="B75" s="43" t="s">
        <v>17</v>
      </c>
      <c r="C75" s="44" t="s">
        <v>39</v>
      </c>
      <c r="D75" s="45" t="s">
        <v>34</v>
      </c>
      <c r="E75" s="88">
        <v>1.0149999999999999</v>
      </c>
      <c r="F75" s="46">
        <f>E75*F72</f>
        <v>19.873699999999996</v>
      </c>
      <c r="G75" s="116"/>
      <c r="H75" s="117"/>
      <c r="I75" s="107"/>
      <c r="J75" s="98"/>
      <c r="K75" s="98"/>
      <c r="L75" s="98"/>
      <c r="M75" s="117"/>
    </row>
    <row r="76" spans="1:13" s="10" customFormat="1" ht="20.25" hidden="1" customHeight="1" outlineLevel="1" x14ac:dyDescent="0.2">
      <c r="A76" s="48"/>
      <c r="B76" s="43" t="s">
        <v>17</v>
      </c>
      <c r="C76" s="6" t="s">
        <v>37</v>
      </c>
      <c r="D76" s="133" t="s">
        <v>15</v>
      </c>
      <c r="E76" s="35"/>
      <c r="F76" s="32">
        <f>(680.6+547.2+133.5)/1000</f>
        <v>1.3613000000000002</v>
      </c>
      <c r="G76" s="105"/>
      <c r="H76" s="106"/>
      <c r="I76" s="107"/>
      <c r="J76" s="108"/>
      <c r="K76" s="108"/>
      <c r="L76" s="108"/>
      <c r="M76" s="106"/>
    </row>
    <row r="77" spans="1:13" s="84" customFormat="1" ht="17.25" hidden="1" customHeight="1" outlineLevel="1" x14ac:dyDescent="0.25">
      <c r="A77" s="13"/>
      <c r="B77" s="43" t="s">
        <v>17</v>
      </c>
      <c r="C77" s="57" t="s">
        <v>68</v>
      </c>
      <c r="D77" s="81" t="s">
        <v>69</v>
      </c>
      <c r="E77" s="82"/>
      <c r="F77" s="79">
        <f>(F76)*10</f>
        <v>13.613000000000001</v>
      </c>
      <c r="G77" s="111"/>
      <c r="H77" s="112"/>
      <c r="I77" s="112"/>
      <c r="J77" s="112"/>
      <c r="K77" s="112"/>
      <c r="L77" s="112"/>
      <c r="M77" s="98"/>
    </row>
    <row r="78" spans="1:13" s="84" customFormat="1" ht="17.25" hidden="1" customHeight="1" outlineLevel="1" x14ac:dyDescent="0.25">
      <c r="A78" s="13"/>
      <c r="B78" s="43" t="s">
        <v>17</v>
      </c>
      <c r="C78" s="57" t="s">
        <v>66</v>
      </c>
      <c r="D78" s="81" t="s">
        <v>4</v>
      </c>
      <c r="E78" s="82"/>
      <c r="F78" s="79">
        <f>102*1.2*1.2</f>
        <v>146.88</v>
      </c>
      <c r="G78" s="111"/>
      <c r="H78" s="112"/>
      <c r="I78" s="112"/>
      <c r="J78" s="112"/>
      <c r="K78" s="112"/>
      <c r="L78" s="112"/>
      <c r="M78" s="98"/>
    </row>
    <row r="79" spans="1:13" s="84" customFormat="1" ht="17.25" hidden="1" customHeight="1" outlineLevel="1" x14ac:dyDescent="0.25">
      <c r="A79" s="13"/>
      <c r="B79" s="43" t="s">
        <v>17</v>
      </c>
      <c r="C79" s="57" t="s">
        <v>67</v>
      </c>
      <c r="D79" s="81" t="s">
        <v>34</v>
      </c>
      <c r="E79" s="85">
        <f>(5.81+0.67)/100</f>
        <v>6.4799999999999996E-2</v>
      </c>
      <c r="F79" s="79">
        <f>E79*F72</f>
        <v>1.2687839999999999</v>
      </c>
      <c r="G79" s="111"/>
      <c r="H79" s="112"/>
      <c r="I79" s="112"/>
      <c r="J79" s="112"/>
      <c r="K79" s="112"/>
      <c r="L79" s="112"/>
      <c r="M79" s="98"/>
    </row>
    <row r="80" spans="1:13" s="84" customFormat="1" ht="18" hidden="1" customHeight="1" outlineLevel="1" x14ac:dyDescent="0.25">
      <c r="A80" s="13"/>
      <c r="B80" s="77"/>
      <c r="C80" s="57" t="s">
        <v>64</v>
      </c>
      <c r="D80" s="81" t="s">
        <v>7</v>
      </c>
      <c r="E80" s="82">
        <v>0.6</v>
      </c>
      <c r="F80" s="79">
        <f>E80*F70</f>
        <v>13.954636799999999</v>
      </c>
      <c r="G80" s="111"/>
      <c r="H80" s="112"/>
      <c r="I80" s="112"/>
      <c r="J80" s="112"/>
      <c r="K80" s="112"/>
      <c r="L80" s="112"/>
      <c r="M80" s="98"/>
    </row>
    <row r="81" spans="1:13" s="84" customFormat="1" ht="18" hidden="1" customHeight="1" outlineLevel="1" x14ac:dyDescent="0.25">
      <c r="A81" s="13"/>
      <c r="B81" s="77"/>
      <c r="C81" s="57"/>
      <c r="D81" s="81"/>
      <c r="E81" s="82"/>
      <c r="F81" s="79"/>
      <c r="G81" s="111"/>
      <c r="H81" s="112"/>
      <c r="I81" s="112"/>
      <c r="J81" s="112"/>
      <c r="K81" s="112"/>
      <c r="L81" s="112"/>
      <c r="M81" s="98"/>
    </row>
    <row r="82" spans="1:13" s="12" customFormat="1" ht="33" customHeight="1" collapsed="1" x14ac:dyDescent="0.25">
      <c r="A82" s="79">
        <v>1.1000000000000001</v>
      </c>
      <c r="B82" s="37" t="s">
        <v>74</v>
      </c>
      <c r="C82" s="44" t="s">
        <v>183</v>
      </c>
      <c r="D82" s="45" t="s">
        <v>15</v>
      </c>
      <c r="E82" s="76"/>
      <c r="F82" s="46">
        <f>F85+1.28+0.05</f>
        <v>2.2184200000000001</v>
      </c>
      <c r="G82" s="113"/>
      <c r="H82" s="113"/>
      <c r="I82" s="102"/>
      <c r="J82" s="114"/>
      <c r="K82" s="114"/>
      <c r="L82" s="114"/>
      <c r="M82" s="115"/>
    </row>
    <row r="83" spans="1:13" s="10" customFormat="1" ht="18.75" hidden="1" customHeight="1" outlineLevel="1" x14ac:dyDescent="0.2">
      <c r="A83" s="42"/>
      <c r="B83" s="43" t="s">
        <v>25</v>
      </c>
      <c r="C83" s="44" t="s">
        <v>13</v>
      </c>
      <c r="D83" s="45" t="s">
        <v>52</v>
      </c>
      <c r="E83" s="46">
        <v>210</v>
      </c>
      <c r="F83" s="47">
        <f>F82*E83</f>
        <v>465.8682</v>
      </c>
      <c r="G83" s="116"/>
      <c r="H83" s="117"/>
      <c r="I83" s="107"/>
      <c r="J83" s="98"/>
      <c r="K83" s="98"/>
      <c r="L83" s="98"/>
      <c r="M83" s="117"/>
    </row>
    <row r="84" spans="1:13" s="80" customFormat="1" ht="18.75" hidden="1" customHeight="1" outlineLevel="1" x14ac:dyDescent="0.25">
      <c r="A84" s="76"/>
      <c r="B84" s="77"/>
      <c r="C84" s="44" t="s">
        <v>55</v>
      </c>
      <c r="D84" s="78" t="s">
        <v>7</v>
      </c>
      <c r="E84" s="79">
        <v>1.4</v>
      </c>
      <c r="F84" s="79">
        <f>E84*F82</f>
        <v>3.105788</v>
      </c>
      <c r="G84" s="110"/>
      <c r="H84" s="98"/>
      <c r="I84" s="98"/>
      <c r="J84" s="98"/>
      <c r="K84" s="98"/>
      <c r="L84" s="98"/>
      <c r="M84" s="98"/>
    </row>
    <row r="85" spans="1:13" s="10" customFormat="1" ht="18.75" hidden="1" customHeight="1" outlineLevel="1" x14ac:dyDescent="0.2">
      <c r="A85" s="42"/>
      <c r="B85" s="43" t="s">
        <v>17</v>
      </c>
      <c r="C85" s="44" t="s">
        <v>77</v>
      </c>
      <c r="D85" s="45" t="s">
        <v>15</v>
      </c>
      <c r="E85" s="46"/>
      <c r="F85" s="46">
        <f>(17.42*51)/1000</f>
        <v>0.8884200000000001</v>
      </c>
      <c r="G85" s="118"/>
      <c r="H85" s="119"/>
      <c r="I85" s="107"/>
      <c r="J85" s="98"/>
      <c r="K85" s="98"/>
      <c r="L85" s="98"/>
      <c r="M85" s="98"/>
    </row>
    <row r="86" spans="1:13" s="10" customFormat="1" ht="26.25" hidden="1" customHeight="1" outlineLevel="1" x14ac:dyDescent="0.2">
      <c r="A86" s="42"/>
      <c r="B86" s="43" t="s">
        <v>17</v>
      </c>
      <c r="C86" s="44" t="s">
        <v>88</v>
      </c>
      <c r="D86" s="45" t="s">
        <v>4</v>
      </c>
      <c r="E86" s="46"/>
      <c r="F86" s="46">
        <f>0.4*0.4*51</f>
        <v>8.1600000000000019</v>
      </c>
      <c r="G86" s="118"/>
      <c r="H86" s="119"/>
      <c r="I86" s="107"/>
      <c r="J86" s="98"/>
      <c r="K86" s="98"/>
      <c r="L86" s="98"/>
      <c r="M86" s="98"/>
    </row>
    <row r="87" spans="1:13" s="10" customFormat="1" ht="18.75" hidden="1" customHeight="1" outlineLevel="1" x14ac:dyDescent="0.2">
      <c r="A87" s="42"/>
      <c r="B87" s="43" t="s">
        <v>17</v>
      </c>
      <c r="C87" s="44" t="s">
        <v>78</v>
      </c>
      <c r="D87" s="45" t="s">
        <v>5</v>
      </c>
      <c r="E87" s="46"/>
      <c r="F87" s="46">
        <v>300</v>
      </c>
      <c r="G87" s="118"/>
      <c r="H87" s="119"/>
      <c r="I87" s="107"/>
      <c r="J87" s="98"/>
      <c r="K87" s="98"/>
      <c r="L87" s="98"/>
      <c r="M87" s="98"/>
    </row>
    <row r="88" spans="1:13" s="10" customFormat="1" ht="18.75" hidden="1" customHeight="1" outlineLevel="1" x14ac:dyDescent="0.2">
      <c r="A88" s="42"/>
      <c r="B88" s="43" t="s">
        <v>17</v>
      </c>
      <c r="C88" s="44" t="s">
        <v>79</v>
      </c>
      <c r="D88" s="45" t="s">
        <v>5</v>
      </c>
      <c r="E88" s="46"/>
      <c r="F88" s="46">
        <f>8*51</f>
        <v>408</v>
      </c>
      <c r="G88" s="118"/>
      <c r="H88" s="119"/>
      <c r="I88" s="107"/>
      <c r="J88" s="98"/>
      <c r="K88" s="98"/>
      <c r="L88" s="98"/>
      <c r="M88" s="98"/>
    </row>
    <row r="89" spans="1:13" s="84" customFormat="1" ht="18.75" hidden="1" customHeight="1" outlineLevel="1" x14ac:dyDescent="0.25">
      <c r="A89" s="13"/>
      <c r="B89" s="77"/>
      <c r="C89" s="57" t="s">
        <v>64</v>
      </c>
      <c r="D89" s="81" t="s">
        <v>7</v>
      </c>
      <c r="E89" s="82">
        <v>2</v>
      </c>
      <c r="F89" s="79">
        <f>E89*F79</f>
        <v>2.5375679999999998</v>
      </c>
      <c r="G89" s="111"/>
      <c r="H89" s="112"/>
      <c r="I89" s="112"/>
      <c r="J89" s="112"/>
      <c r="K89" s="112"/>
      <c r="L89" s="112"/>
      <c r="M89" s="98"/>
    </row>
    <row r="90" spans="1:13" s="10" customFormat="1" ht="19.5" hidden="1" customHeight="1" outlineLevel="1" x14ac:dyDescent="0.2">
      <c r="A90" s="42"/>
      <c r="B90" s="43"/>
      <c r="C90" s="44"/>
      <c r="D90" s="45"/>
      <c r="E90" s="46"/>
      <c r="F90" s="46"/>
      <c r="G90" s="116"/>
      <c r="H90" s="117"/>
      <c r="I90" s="109"/>
      <c r="J90" s="98"/>
      <c r="K90" s="98"/>
      <c r="L90" s="98"/>
      <c r="M90" s="117"/>
    </row>
    <row r="91" spans="1:13" s="12" customFormat="1" ht="40.5" customHeight="1" collapsed="1" x14ac:dyDescent="0.25">
      <c r="A91" s="48">
        <v>1.1100000000000001</v>
      </c>
      <c r="B91" s="37" t="s">
        <v>80</v>
      </c>
      <c r="C91" s="6" t="s">
        <v>184</v>
      </c>
      <c r="D91" s="133" t="s">
        <v>34</v>
      </c>
      <c r="E91" s="191"/>
      <c r="F91" s="8">
        <v>97.45</v>
      </c>
      <c r="G91" s="101"/>
      <c r="H91" s="101"/>
      <c r="I91" s="102"/>
      <c r="J91" s="103"/>
      <c r="K91" s="103"/>
      <c r="L91" s="103"/>
      <c r="M91" s="104"/>
    </row>
    <row r="92" spans="1:13" s="10" customFormat="1" ht="21" hidden="1" customHeight="1" outlineLevel="1" x14ac:dyDescent="0.2">
      <c r="A92" s="48"/>
      <c r="B92" s="31" t="s">
        <v>25</v>
      </c>
      <c r="C92" s="6" t="s">
        <v>13</v>
      </c>
      <c r="D92" s="133" t="s">
        <v>34</v>
      </c>
      <c r="E92" s="32">
        <v>1</v>
      </c>
      <c r="F92" s="8">
        <f>E92*F91</f>
        <v>97.45</v>
      </c>
      <c r="G92" s="105"/>
      <c r="H92" s="106"/>
      <c r="I92" s="107"/>
      <c r="J92" s="108"/>
      <c r="K92" s="108"/>
      <c r="L92" s="108"/>
      <c r="M92" s="106"/>
    </row>
    <row r="93" spans="1:13" s="80" customFormat="1" ht="18.75" hidden="1" customHeight="1" outlineLevel="1" x14ac:dyDescent="0.25">
      <c r="A93" s="76"/>
      <c r="B93" s="77"/>
      <c r="C93" s="44" t="s">
        <v>55</v>
      </c>
      <c r="D93" s="78" t="s">
        <v>7</v>
      </c>
      <c r="E93" s="79">
        <v>1.1399999999999999</v>
      </c>
      <c r="F93" s="79">
        <f>E93*F91</f>
        <v>111.09299999999999</v>
      </c>
      <c r="G93" s="110"/>
      <c r="H93" s="98"/>
      <c r="I93" s="98"/>
      <c r="J93" s="98"/>
      <c r="K93" s="98"/>
      <c r="L93" s="98"/>
      <c r="M93" s="98"/>
    </row>
    <row r="94" spans="1:13" s="10" customFormat="1" ht="19.5" hidden="1" customHeight="1" outlineLevel="1" x14ac:dyDescent="0.2">
      <c r="A94" s="42"/>
      <c r="B94" s="43" t="s">
        <v>17</v>
      </c>
      <c r="C94" s="44" t="s">
        <v>39</v>
      </c>
      <c r="D94" s="45" t="s">
        <v>34</v>
      </c>
      <c r="E94" s="88">
        <v>1.0149999999999999</v>
      </c>
      <c r="F94" s="46">
        <f>E94*F91</f>
        <v>98.911749999999998</v>
      </c>
      <c r="G94" s="116"/>
      <c r="H94" s="117"/>
      <c r="I94" s="109"/>
      <c r="J94" s="98"/>
      <c r="K94" s="98"/>
      <c r="L94" s="98"/>
      <c r="M94" s="117"/>
    </row>
    <row r="95" spans="1:13" s="10" customFormat="1" ht="20.25" hidden="1" customHeight="1" outlineLevel="1" x14ac:dyDescent="0.2">
      <c r="A95" s="48"/>
      <c r="B95" s="43" t="s">
        <v>17</v>
      </c>
      <c r="C95" s="6" t="s">
        <v>38</v>
      </c>
      <c r="D95" s="133" t="s">
        <v>15</v>
      </c>
      <c r="E95" s="35"/>
      <c r="F95" s="32">
        <f>2286.2/1000</f>
        <v>2.2862</v>
      </c>
      <c r="G95" s="105"/>
      <c r="H95" s="106"/>
      <c r="I95" s="109"/>
      <c r="J95" s="108"/>
      <c r="K95" s="108"/>
      <c r="L95" s="108"/>
      <c r="M95" s="106"/>
    </row>
    <row r="96" spans="1:13" s="10" customFormat="1" ht="20.25" hidden="1" customHeight="1" outlineLevel="1" x14ac:dyDescent="0.2">
      <c r="A96" s="48"/>
      <c r="B96" s="43" t="s">
        <v>17</v>
      </c>
      <c r="C96" s="6" t="s">
        <v>37</v>
      </c>
      <c r="D96" s="133" t="s">
        <v>15</v>
      </c>
      <c r="E96" s="35"/>
      <c r="F96" s="32">
        <f>(62.1+106.5)/1000</f>
        <v>0.1686</v>
      </c>
      <c r="G96" s="105"/>
      <c r="H96" s="106"/>
      <c r="I96" s="109"/>
      <c r="J96" s="108"/>
      <c r="K96" s="108"/>
      <c r="L96" s="108"/>
      <c r="M96" s="106"/>
    </row>
    <row r="97" spans="1:13" s="84" customFormat="1" ht="17.25" hidden="1" customHeight="1" outlineLevel="1" x14ac:dyDescent="0.25">
      <c r="A97" s="13"/>
      <c r="B97" s="43" t="s">
        <v>17</v>
      </c>
      <c r="C97" s="57" t="s">
        <v>68</v>
      </c>
      <c r="D97" s="81" t="s">
        <v>69</v>
      </c>
      <c r="E97" s="82"/>
      <c r="F97" s="79">
        <f>(F96+F95)*10</f>
        <v>24.548000000000002</v>
      </c>
      <c r="G97" s="111"/>
      <c r="H97" s="112"/>
      <c r="I97" s="112"/>
      <c r="J97" s="112"/>
      <c r="K97" s="112"/>
      <c r="L97" s="112"/>
      <c r="M97" s="98"/>
    </row>
    <row r="98" spans="1:13" s="84" customFormat="1" ht="17.25" hidden="1" customHeight="1" outlineLevel="1" x14ac:dyDescent="0.25">
      <c r="A98" s="13"/>
      <c r="B98" s="43" t="s">
        <v>17</v>
      </c>
      <c r="C98" s="57" t="s">
        <v>66</v>
      </c>
      <c r="D98" s="81" t="s">
        <v>4</v>
      </c>
      <c r="E98" s="82"/>
      <c r="F98" s="79">
        <f>F91/0.3*2</f>
        <v>649.66666666666674</v>
      </c>
      <c r="G98" s="111"/>
      <c r="H98" s="112"/>
      <c r="I98" s="112"/>
      <c r="J98" s="112"/>
      <c r="K98" s="112"/>
      <c r="L98" s="112"/>
      <c r="M98" s="98"/>
    </row>
    <row r="99" spans="1:13" s="84" customFormat="1" ht="17.25" hidden="1" customHeight="1" outlineLevel="1" x14ac:dyDescent="0.25">
      <c r="A99" s="13"/>
      <c r="B99" s="43" t="s">
        <v>17</v>
      </c>
      <c r="C99" s="57" t="s">
        <v>67</v>
      </c>
      <c r="D99" s="81" t="s">
        <v>34</v>
      </c>
      <c r="E99" s="85">
        <f>(0.33+3.66)/100</f>
        <v>3.9900000000000005E-2</v>
      </c>
      <c r="F99" s="79">
        <f>E99*F91</f>
        <v>3.8882550000000005</v>
      </c>
      <c r="G99" s="111"/>
      <c r="H99" s="112"/>
      <c r="I99" s="112"/>
      <c r="J99" s="112"/>
      <c r="K99" s="112"/>
      <c r="L99" s="112"/>
      <c r="M99" s="98"/>
    </row>
    <row r="100" spans="1:13" s="84" customFormat="1" ht="18" hidden="1" customHeight="1" outlineLevel="1" x14ac:dyDescent="0.25">
      <c r="A100" s="13"/>
      <c r="B100" s="77"/>
      <c r="C100" s="57" t="s">
        <v>64</v>
      </c>
      <c r="D100" s="81" t="s">
        <v>7</v>
      </c>
      <c r="E100" s="82">
        <v>0.32</v>
      </c>
      <c r="F100" s="79">
        <f>E100*F91</f>
        <v>31.184000000000001</v>
      </c>
      <c r="G100" s="111"/>
      <c r="H100" s="112"/>
      <c r="I100" s="112"/>
      <c r="J100" s="112"/>
      <c r="K100" s="112"/>
      <c r="L100" s="112"/>
      <c r="M100" s="98"/>
    </row>
    <row r="101" spans="1:13" s="10" customFormat="1" ht="15.75" hidden="1" customHeight="1" outlineLevel="1" x14ac:dyDescent="0.2">
      <c r="A101" s="48"/>
      <c r="B101" s="31"/>
      <c r="C101" s="6"/>
      <c r="D101" s="133"/>
      <c r="E101" s="32"/>
      <c r="F101" s="8"/>
      <c r="G101" s="105"/>
      <c r="H101" s="106"/>
      <c r="I101" s="109"/>
      <c r="J101" s="108"/>
      <c r="K101" s="108"/>
      <c r="L101" s="108"/>
      <c r="M101" s="106"/>
    </row>
    <row r="102" spans="1:13" s="12" customFormat="1" ht="36.75" customHeight="1" collapsed="1" x14ac:dyDescent="0.25">
      <c r="A102" s="48">
        <v>1.1200000000000001</v>
      </c>
      <c r="B102" s="37" t="s">
        <v>61</v>
      </c>
      <c r="C102" s="6" t="s">
        <v>185</v>
      </c>
      <c r="D102" s="133" t="s">
        <v>34</v>
      </c>
      <c r="E102" s="191"/>
      <c r="F102" s="8">
        <f>460</f>
        <v>460</v>
      </c>
      <c r="G102" s="101"/>
      <c r="H102" s="101"/>
      <c r="I102" s="102"/>
      <c r="J102" s="103"/>
      <c r="K102" s="103"/>
      <c r="L102" s="103"/>
      <c r="M102" s="104"/>
    </row>
    <row r="103" spans="1:13" s="10" customFormat="1" ht="18.75" hidden="1" customHeight="1" outlineLevel="1" x14ac:dyDescent="0.2">
      <c r="A103" s="48"/>
      <c r="B103" s="31" t="s">
        <v>25</v>
      </c>
      <c r="C103" s="6" t="s">
        <v>36</v>
      </c>
      <c r="D103" s="133" t="s">
        <v>52</v>
      </c>
      <c r="E103" s="32">
        <v>0.89</v>
      </c>
      <c r="F103" s="8">
        <f>E103*F102</f>
        <v>409.40000000000003</v>
      </c>
      <c r="G103" s="105"/>
      <c r="H103" s="106"/>
      <c r="I103" s="107"/>
      <c r="J103" s="108"/>
      <c r="K103" s="108"/>
      <c r="L103" s="108"/>
      <c r="M103" s="106"/>
    </row>
    <row r="104" spans="1:13" s="10" customFormat="1" ht="20.25" hidden="1" customHeight="1" outlineLevel="1" x14ac:dyDescent="0.2">
      <c r="A104" s="48"/>
      <c r="B104" s="31"/>
      <c r="C104" s="6" t="s">
        <v>62</v>
      </c>
      <c r="D104" s="133" t="s">
        <v>7</v>
      </c>
      <c r="E104" s="32">
        <v>0.37</v>
      </c>
      <c r="F104" s="32">
        <f>E104*F102</f>
        <v>170.2</v>
      </c>
      <c r="G104" s="105"/>
      <c r="H104" s="106"/>
      <c r="I104" s="109"/>
      <c r="J104" s="108"/>
      <c r="K104" s="108"/>
      <c r="L104" s="108"/>
      <c r="M104" s="106"/>
    </row>
    <row r="105" spans="1:13" s="10" customFormat="1" ht="20.25" hidden="1" customHeight="1" outlineLevel="1" x14ac:dyDescent="0.2">
      <c r="A105" s="48"/>
      <c r="B105" s="31" t="s">
        <v>17</v>
      </c>
      <c r="C105" s="6" t="s">
        <v>63</v>
      </c>
      <c r="D105" s="133" t="s">
        <v>34</v>
      </c>
      <c r="E105" s="32">
        <v>1.1499999999999999</v>
      </c>
      <c r="F105" s="32">
        <f>E105*F102</f>
        <v>529</v>
      </c>
      <c r="G105" s="105"/>
      <c r="H105" s="106"/>
      <c r="I105" s="107"/>
      <c r="J105" s="108"/>
      <c r="K105" s="108"/>
      <c r="L105" s="108"/>
      <c r="M105" s="106"/>
    </row>
    <row r="106" spans="1:13" s="10" customFormat="1" ht="20.25" hidden="1" customHeight="1" outlineLevel="1" x14ac:dyDescent="0.2">
      <c r="A106" s="48"/>
      <c r="B106" s="31"/>
      <c r="C106" s="6" t="s">
        <v>64</v>
      </c>
      <c r="D106" s="133" t="s">
        <v>7</v>
      </c>
      <c r="E106" s="32">
        <v>0.02</v>
      </c>
      <c r="F106" s="32">
        <f>E106*F102</f>
        <v>9.2000000000000011</v>
      </c>
      <c r="G106" s="105"/>
      <c r="H106" s="106"/>
      <c r="I106" s="107"/>
      <c r="J106" s="108"/>
      <c r="K106" s="108"/>
      <c r="L106" s="108"/>
      <c r="M106" s="106"/>
    </row>
    <row r="107" spans="1:13" s="10" customFormat="1" ht="18.75" hidden="1" customHeight="1" outlineLevel="1" x14ac:dyDescent="0.2">
      <c r="A107" s="48"/>
      <c r="B107" s="31"/>
      <c r="C107" s="6"/>
      <c r="D107" s="133"/>
      <c r="E107" s="32"/>
      <c r="F107" s="8"/>
      <c r="G107" s="105"/>
      <c r="H107" s="106"/>
      <c r="I107" s="109"/>
      <c r="J107" s="108"/>
      <c r="K107" s="108"/>
      <c r="L107" s="108"/>
      <c r="M107" s="106"/>
    </row>
    <row r="108" spans="1:13" s="12" customFormat="1" ht="32.25" customHeight="1" collapsed="1" x14ac:dyDescent="0.25">
      <c r="A108" s="48">
        <v>1.1299999999999999</v>
      </c>
      <c r="B108" s="75" t="s">
        <v>71</v>
      </c>
      <c r="C108" s="6" t="s">
        <v>82</v>
      </c>
      <c r="D108" s="133" t="s">
        <v>34</v>
      </c>
      <c r="E108" s="191"/>
      <c r="F108" s="32">
        <v>230</v>
      </c>
      <c r="G108" s="101"/>
      <c r="H108" s="101"/>
      <c r="I108" s="102"/>
      <c r="J108" s="103"/>
      <c r="K108" s="103"/>
      <c r="L108" s="103"/>
      <c r="M108" s="104"/>
    </row>
    <row r="109" spans="1:13" s="10" customFormat="1" ht="20.25" hidden="1" customHeight="1" outlineLevel="1" x14ac:dyDescent="0.2">
      <c r="A109" s="48"/>
      <c r="B109" s="31" t="s">
        <v>25</v>
      </c>
      <c r="C109" s="6" t="s">
        <v>36</v>
      </c>
      <c r="D109" s="133" t="s">
        <v>34</v>
      </c>
      <c r="E109" s="32">
        <v>1</v>
      </c>
      <c r="F109" s="8">
        <f>E109*F108</f>
        <v>230</v>
      </c>
      <c r="G109" s="105"/>
      <c r="H109" s="106"/>
      <c r="I109" s="107"/>
      <c r="J109" s="108"/>
      <c r="K109" s="108"/>
      <c r="L109" s="108"/>
      <c r="M109" s="106"/>
    </row>
    <row r="110" spans="1:13" s="80" customFormat="1" ht="20.25" hidden="1" customHeight="1" outlineLevel="1" x14ac:dyDescent="0.25">
      <c r="A110" s="76"/>
      <c r="B110" s="77"/>
      <c r="C110" s="44" t="s">
        <v>55</v>
      </c>
      <c r="D110" s="78" t="s">
        <v>7</v>
      </c>
      <c r="E110" s="79">
        <f>28.3/100</f>
        <v>0.28300000000000003</v>
      </c>
      <c r="F110" s="79">
        <f>E110*F108</f>
        <v>65.09</v>
      </c>
      <c r="G110" s="110"/>
      <c r="H110" s="98"/>
      <c r="I110" s="98"/>
      <c r="J110" s="98"/>
      <c r="K110" s="98"/>
      <c r="L110" s="98"/>
      <c r="M110" s="98"/>
    </row>
    <row r="111" spans="1:13" s="10" customFormat="1" ht="20.25" hidden="1" customHeight="1" outlineLevel="1" x14ac:dyDescent="0.2">
      <c r="A111" s="48"/>
      <c r="B111" s="31" t="s">
        <v>17</v>
      </c>
      <c r="C111" s="6" t="s">
        <v>35</v>
      </c>
      <c r="D111" s="133" t="s">
        <v>34</v>
      </c>
      <c r="E111" s="35">
        <v>1.02</v>
      </c>
      <c r="F111" s="32">
        <f>E111*F108</f>
        <v>234.6</v>
      </c>
      <c r="G111" s="105"/>
      <c r="H111" s="106"/>
      <c r="I111" s="107"/>
      <c r="J111" s="108"/>
      <c r="K111" s="108"/>
      <c r="L111" s="108"/>
      <c r="M111" s="106"/>
    </row>
    <row r="112" spans="1:13" s="84" customFormat="1" ht="17.25" hidden="1" customHeight="1" outlineLevel="1" x14ac:dyDescent="0.25">
      <c r="A112" s="13"/>
      <c r="B112" s="77"/>
      <c r="C112" s="57" t="s">
        <v>64</v>
      </c>
      <c r="D112" s="81" t="s">
        <v>7</v>
      </c>
      <c r="E112" s="85">
        <v>0.62</v>
      </c>
      <c r="F112" s="79">
        <f>E112*F108</f>
        <v>142.6</v>
      </c>
      <c r="G112" s="111"/>
      <c r="H112" s="112"/>
      <c r="I112" s="112"/>
      <c r="J112" s="112"/>
      <c r="K112" s="112"/>
      <c r="L112" s="112"/>
      <c r="M112" s="98"/>
    </row>
    <row r="113" spans="1:13" s="10" customFormat="1" ht="20.25" hidden="1" customHeight="1" outlineLevel="1" x14ac:dyDescent="0.2">
      <c r="A113" s="48"/>
      <c r="B113" s="31"/>
      <c r="C113" s="6"/>
      <c r="D113" s="133"/>
      <c r="E113" s="32"/>
      <c r="F113" s="8"/>
      <c r="G113" s="105"/>
      <c r="H113" s="106"/>
      <c r="I113" s="109"/>
      <c r="J113" s="108"/>
      <c r="K113" s="108"/>
      <c r="L113" s="108"/>
      <c r="M113" s="106"/>
    </row>
    <row r="114" spans="1:13" s="12" customFormat="1" ht="56.25" customHeight="1" collapsed="1" x14ac:dyDescent="0.25">
      <c r="A114" s="48">
        <v>1.1399999999999999</v>
      </c>
      <c r="B114" s="37" t="s">
        <v>85</v>
      </c>
      <c r="C114" s="6" t="s">
        <v>86</v>
      </c>
      <c r="D114" s="133" t="s">
        <v>34</v>
      </c>
      <c r="E114" s="191"/>
      <c r="F114" s="8">
        <v>730</v>
      </c>
      <c r="G114" s="101"/>
      <c r="H114" s="101"/>
      <c r="I114" s="102"/>
      <c r="J114" s="103"/>
      <c r="K114" s="103"/>
      <c r="L114" s="103"/>
      <c r="M114" s="104"/>
    </row>
    <row r="115" spans="1:13" s="10" customFormat="1" ht="22.5" hidden="1" customHeight="1" outlineLevel="1" x14ac:dyDescent="0.2">
      <c r="A115" s="48"/>
      <c r="B115" s="31" t="s">
        <v>25</v>
      </c>
      <c r="C115" s="6" t="s">
        <v>13</v>
      </c>
      <c r="D115" s="133" t="s">
        <v>34</v>
      </c>
      <c r="E115" s="32">
        <v>1</v>
      </c>
      <c r="F115" s="8">
        <f>E115*F114</f>
        <v>730</v>
      </c>
      <c r="G115" s="105"/>
      <c r="H115" s="106"/>
      <c r="I115" s="107"/>
      <c r="J115" s="108"/>
      <c r="K115" s="108"/>
      <c r="L115" s="108"/>
      <c r="M115" s="106"/>
    </row>
    <row r="116" spans="1:13" s="80" customFormat="1" ht="18.75" hidden="1" customHeight="1" outlineLevel="1" x14ac:dyDescent="0.25">
      <c r="A116" s="76"/>
      <c r="B116" s="77"/>
      <c r="C116" s="44" t="s">
        <v>55</v>
      </c>
      <c r="D116" s="78" t="s">
        <v>7</v>
      </c>
      <c r="E116" s="79">
        <v>0.77</v>
      </c>
      <c r="F116" s="79">
        <f>E116*F114</f>
        <v>562.1</v>
      </c>
      <c r="G116" s="110"/>
      <c r="H116" s="98"/>
      <c r="I116" s="98"/>
      <c r="J116" s="98"/>
      <c r="K116" s="98"/>
      <c r="L116" s="98"/>
      <c r="M116" s="98"/>
    </row>
    <row r="117" spans="1:13" s="10" customFormat="1" ht="18" hidden="1" customHeight="1" outlineLevel="1" x14ac:dyDescent="0.2">
      <c r="A117" s="48"/>
      <c r="B117" s="31" t="s">
        <v>17</v>
      </c>
      <c r="C117" s="6" t="s">
        <v>39</v>
      </c>
      <c r="D117" s="133" t="s">
        <v>34</v>
      </c>
      <c r="E117" s="35">
        <v>1.0149999999999999</v>
      </c>
      <c r="F117" s="32">
        <f>E117*F114</f>
        <v>740.94999999999993</v>
      </c>
      <c r="G117" s="105"/>
      <c r="H117" s="106"/>
      <c r="I117" s="107"/>
      <c r="J117" s="108"/>
      <c r="K117" s="108"/>
      <c r="L117" s="108"/>
      <c r="M117" s="106"/>
    </row>
    <row r="118" spans="1:13" s="10" customFormat="1" ht="20.25" hidden="1" customHeight="1" outlineLevel="1" x14ac:dyDescent="0.2">
      <c r="A118" s="48"/>
      <c r="B118" s="31" t="s">
        <v>17</v>
      </c>
      <c r="C118" s="6" t="s">
        <v>44</v>
      </c>
      <c r="D118" s="133" t="s">
        <v>15</v>
      </c>
      <c r="E118" s="35"/>
      <c r="F118" s="32">
        <f>(19048.7+19048.7)/1000</f>
        <v>38.0974</v>
      </c>
      <c r="G118" s="105"/>
      <c r="H118" s="106"/>
      <c r="I118" s="107"/>
      <c r="J118" s="108"/>
      <c r="K118" s="108"/>
      <c r="L118" s="108"/>
      <c r="M118" s="106"/>
    </row>
    <row r="119" spans="1:13" s="10" customFormat="1" ht="20.25" hidden="1" customHeight="1" outlineLevel="1" x14ac:dyDescent="0.2">
      <c r="A119" s="48"/>
      <c r="B119" s="31" t="s">
        <v>17</v>
      </c>
      <c r="C119" s="6" t="s">
        <v>37</v>
      </c>
      <c r="D119" s="133" t="s">
        <v>15</v>
      </c>
      <c r="E119" s="35"/>
      <c r="F119" s="32">
        <f>(1350.8+3241.8)/1000</f>
        <v>4.5926</v>
      </c>
      <c r="G119" s="105"/>
      <c r="H119" s="106"/>
      <c r="I119" s="107"/>
      <c r="J119" s="108"/>
      <c r="K119" s="108"/>
      <c r="L119" s="108"/>
      <c r="M119" s="106"/>
    </row>
    <row r="120" spans="1:13" s="84" customFormat="1" ht="17.25" hidden="1" customHeight="1" outlineLevel="1" x14ac:dyDescent="0.25">
      <c r="A120" s="13"/>
      <c r="B120" s="31" t="s">
        <v>17</v>
      </c>
      <c r="C120" s="57" t="s">
        <v>68</v>
      </c>
      <c r="D120" s="81" t="s">
        <v>69</v>
      </c>
      <c r="E120" s="82"/>
      <c r="F120" s="79">
        <f>(F119+F118)*10</f>
        <v>426.9</v>
      </c>
      <c r="G120" s="111"/>
      <c r="H120" s="112"/>
      <c r="I120" s="112"/>
      <c r="J120" s="112"/>
      <c r="K120" s="112"/>
      <c r="L120" s="112"/>
      <c r="M120" s="98"/>
    </row>
    <row r="121" spans="1:13" s="84" customFormat="1" ht="17.25" hidden="1" customHeight="1" outlineLevel="1" x14ac:dyDescent="0.25">
      <c r="A121" s="13"/>
      <c r="B121" s="31" t="s">
        <v>17</v>
      </c>
      <c r="C121" s="57" t="s">
        <v>66</v>
      </c>
      <c r="D121" s="81" t="s">
        <v>4</v>
      </c>
      <c r="E121" s="82"/>
      <c r="F121" s="79">
        <f>48.3*4*0.3</f>
        <v>57.959999999999994</v>
      </c>
      <c r="G121" s="111"/>
      <c r="H121" s="112"/>
      <c r="I121" s="112"/>
      <c r="J121" s="112"/>
      <c r="K121" s="112"/>
      <c r="L121" s="112"/>
      <c r="M121" s="98"/>
    </row>
    <row r="122" spans="1:13" s="84" customFormat="1" ht="17.25" hidden="1" customHeight="1" outlineLevel="1" x14ac:dyDescent="0.25">
      <c r="A122" s="13"/>
      <c r="B122" s="31" t="s">
        <v>17</v>
      </c>
      <c r="C122" s="57" t="s">
        <v>67</v>
      </c>
      <c r="D122" s="81" t="s">
        <v>34</v>
      </c>
      <c r="E122" s="85">
        <f>0.08/100</f>
        <v>8.0000000000000004E-4</v>
      </c>
      <c r="F122" s="79">
        <f>E122*F114</f>
        <v>0.58400000000000007</v>
      </c>
      <c r="G122" s="111"/>
      <c r="H122" s="112"/>
      <c r="I122" s="112"/>
      <c r="J122" s="112"/>
      <c r="K122" s="112"/>
      <c r="L122" s="112"/>
      <c r="M122" s="98"/>
    </row>
    <row r="123" spans="1:13" s="84" customFormat="1" ht="18" hidden="1" customHeight="1" outlineLevel="1" x14ac:dyDescent="0.25">
      <c r="A123" s="13"/>
      <c r="B123" s="77"/>
      <c r="C123" s="57" t="s">
        <v>64</v>
      </c>
      <c r="D123" s="81" t="s">
        <v>7</v>
      </c>
      <c r="E123" s="82">
        <f>7/100</f>
        <v>7.0000000000000007E-2</v>
      </c>
      <c r="F123" s="79">
        <f>E123*F114</f>
        <v>51.1</v>
      </c>
      <c r="G123" s="111"/>
      <c r="H123" s="112"/>
      <c r="I123" s="112"/>
      <c r="J123" s="112"/>
      <c r="K123" s="112"/>
      <c r="L123" s="112"/>
      <c r="M123" s="98"/>
    </row>
    <row r="124" spans="1:13" s="10" customFormat="1" ht="18" hidden="1" customHeight="1" outlineLevel="1" x14ac:dyDescent="0.2">
      <c r="A124" s="48"/>
      <c r="B124" s="31"/>
      <c r="C124" s="6"/>
      <c r="D124" s="133"/>
      <c r="E124" s="32"/>
      <c r="F124" s="32"/>
      <c r="G124" s="105"/>
      <c r="H124" s="106"/>
      <c r="I124" s="109"/>
      <c r="J124" s="108"/>
      <c r="K124" s="108"/>
      <c r="L124" s="108"/>
      <c r="M124" s="106"/>
    </row>
    <row r="125" spans="1:13" s="12" customFormat="1" ht="32.25" customHeight="1" collapsed="1" x14ac:dyDescent="0.25">
      <c r="A125" s="42">
        <v>1.1499999999999999</v>
      </c>
      <c r="B125" s="37" t="s">
        <v>74</v>
      </c>
      <c r="C125" s="44" t="s">
        <v>187</v>
      </c>
      <c r="D125" s="45" t="s">
        <v>34</v>
      </c>
      <c r="E125" s="76"/>
      <c r="F125" s="46">
        <f>10.56+14.28+6.21</f>
        <v>31.05</v>
      </c>
      <c r="G125" s="113"/>
      <c r="H125" s="113"/>
      <c r="I125" s="102"/>
      <c r="J125" s="114"/>
      <c r="K125" s="114"/>
      <c r="L125" s="114"/>
      <c r="M125" s="115"/>
    </row>
    <row r="126" spans="1:13" s="10" customFormat="1" ht="21.75" hidden="1" customHeight="1" outlineLevel="1" x14ac:dyDescent="0.2">
      <c r="A126" s="42"/>
      <c r="B126" s="43" t="s">
        <v>25</v>
      </c>
      <c r="C126" s="44" t="s">
        <v>13</v>
      </c>
      <c r="D126" s="45" t="s">
        <v>34</v>
      </c>
      <c r="E126" s="46">
        <v>1</v>
      </c>
      <c r="F126" s="47">
        <f>F125*E126</f>
        <v>31.05</v>
      </c>
      <c r="G126" s="116"/>
      <c r="H126" s="117"/>
      <c r="I126" s="107"/>
      <c r="J126" s="98"/>
      <c r="K126" s="98"/>
      <c r="L126" s="98"/>
      <c r="M126" s="117"/>
    </row>
    <row r="127" spans="1:13" s="80" customFormat="1" ht="21.75" hidden="1" customHeight="1" outlineLevel="1" x14ac:dyDescent="0.25">
      <c r="A127" s="76"/>
      <c r="B127" s="77"/>
      <c r="C127" s="44" t="s">
        <v>55</v>
      </c>
      <c r="D127" s="78" t="s">
        <v>7</v>
      </c>
      <c r="E127" s="79">
        <v>3.36</v>
      </c>
      <c r="F127" s="79">
        <f>E127*F125</f>
        <v>104.328</v>
      </c>
      <c r="G127" s="110"/>
      <c r="H127" s="98"/>
      <c r="I127" s="98"/>
      <c r="J127" s="98"/>
      <c r="K127" s="98"/>
      <c r="L127" s="98"/>
      <c r="M127" s="98"/>
    </row>
    <row r="128" spans="1:13" s="10" customFormat="1" ht="19.5" hidden="1" customHeight="1" outlineLevel="1" x14ac:dyDescent="0.2">
      <c r="A128" s="42"/>
      <c r="B128" s="43" t="s">
        <v>17</v>
      </c>
      <c r="C128" s="44" t="s">
        <v>39</v>
      </c>
      <c r="D128" s="45" t="s">
        <v>34</v>
      </c>
      <c r="E128" s="88">
        <v>1.0149999999999999</v>
      </c>
      <c r="F128" s="46">
        <f>E128*F125</f>
        <v>31.515749999999997</v>
      </c>
      <c r="G128" s="116"/>
      <c r="H128" s="117"/>
      <c r="I128" s="107"/>
      <c r="J128" s="98"/>
      <c r="K128" s="98"/>
      <c r="L128" s="98"/>
      <c r="M128" s="117"/>
    </row>
    <row r="129" spans="1:13" s="10" customFormat="1" ht="20.25" hidden="1" customHeight="1" outlineLevel="1" x14ac:dyDescent="0.2">
      <c r="A129" s="48"/>
      <c r="B129" s="43" t="s">
        <v>17</v>
      </c>
      <c r="C129" s="6" t="s">
        <v>32</v>
      </c>
      <c r="D129" s="133" t="s">
        <v>15</v>
      </c>
      <c r="E129" s="35"/>
      <c r="F129" s="32">
        <f>(1743.2+1950.2)/1000</f>
        <v>3.6934</v>
      </c>
      <c r="G129" s="105"/>
      <c r="H129" s="106"/>
      <c r="I129" s="107"/>
      <c r="J129" s="108"/>
      <c r="K129" s="108"/>
      <c r="L129" s="108"/>
      <c r="M129" s="106"/>
    </row>
    <row r="130" spans="1:13" s="10" customFormat="1" ht="20.25" hidden="1" customHeight="1" outlineLevel="1" x14ac:dyDescent="0.2">
      <c r="A130" s="48"/>
      <c r="B130" s="43" t="s">
        <v>17</v>
      </c>
      <c r="C130" s="6" t="s">
        <v>33</v>
      </c>
      <c r="D130" s="133" t="s">
        <v>15</v>
      </c>
      <c r="E130" s="35"/>
      <c r="F130" s="32">
        <f>656.3/1000</f>
        <v>0.65629999999999999</v>
      </c>
      <c r="G130" s="105"/>
      <c r="H130" s="106"/>
      <c r="I130" s="107"/>
      <c r="J130" s="108"/>
      <c r="K130" s="108"/>
      <c r="L130" s="108"/>
      <c r="M130" s="106"/>
    </row>
    <row r="131" spans="1:13" s="10" customFormat="1" ht="20.25" hidden="1" customHeight="1" outlineLevel="1" x14ac:dyDescent="0.2">
      <c r="A131" s="48"/>
      <c r="B131" s="43" t="s">
        <v>17</v>
      </c>
      <c r="C131" s="6" t="s">
        <v>37</v>
      </c>
      <c r="D131" s="133" t="s">
        <v>15</v>
      </c>
      <c r="E131" s="35"/>
      <c r="F131" s="32">
        <f>(339+266+458.6+359.9+199.4+156.6)/1000</f>
        <v>1.7795000000000001</v>
      </c>
      <c r="G131" s="105"/>
      <c r="H131" s="106"/>
      <c r="I131" s="107"/>
      <c r="J131" s="108"/>
      <c r="K131" s="108"/>
      <c r="L131" s="108"/>
      <c r="M131" s="106"/>
    </row>
    <row r="132" spans="1:13" s="84" customFormat="1" ht="17.25" hidden="1" customHeight="1" outlineLevel="1" x14ac:dyDescent="0.25">
      <c r="A132" s="13"/>
      <c r="B132" s="43" t="s">
        <v>17</v>
      </c>
      <c r="C132" s="57" t="s">
        <v>68</v>
      </c>
      <c r="D132" s="81" t="s">
        <v>69</v>
      </c>
      <c r="E132" s="82"/>
      <c r="F132" s="79">
        <f>(F129+F130+F131)*10</f>
        <v>61.292000000000009</v>
      </c>
      <c r="G132" s="111"/>
      <c r="H132" s="112"/>
      <c r="I132" s="112"/>
      <c r="J132" s="112"/>
      <c r="K132" s="112"/>
      <c r="L132" s="112"/>
      <c r="M132" s="98"/>
    </row>
    <row r="133" spans="1:13" s="84" customFormat="1" ht="17.25" hidden="1" customHeight="1" outlineLevel="1" x14ac:dyDescent="0.25">
      <c r="A133" s="13"/>
      <c r="B133" s="43" t="s">
        <v>17</v>
      </c>
      <c r="C133" s="57" t="s">
        <v>66</v>
      </c>
      <c r="D133" s="81" t="s">
        <v>4</v>
      </c>
      <c r="E133" s="82"/>
      <c r="F133" s="79">
        <f>50*1.2*3.88</f>
        <v>232.79999999999998</v>
      </c>
      <c r="G133" s="111"/>
      <c r="H133" s="112"/>
      <c r="I133" s="112"/>
      <c r="J133" s="112"/>
      <c r="K133" s="112"/>
      <c r="L133" s="112"/>
      <c r="M133" s="98"/>
    </row>
    <row r="134" spans="1:13" s="84" customFormat="1" ht="17.25" hidden="1" customHeight="1" outlineLevel="1" x14ac:dyDescent="0.25">
      <c r="A134" s="13"/>
      <c r="B134" s="43" t="s">
        <v>17</v>
      </c>
      <c r="C134" s="57" t="s">
        <v>67</v>
      </c>
      <c r="D134" s="81" t="s">
        <v>34</v>
      </c>
      <c r="E134" s="85">
        <f>(5.81+0.67)/100</f>
        <v>6.4799999999999996E-2</v>
      </c>
      <c r="F134" s="79">
        <f>E134*F125</f>
        <v>2.0120399999999998</v>
      </c>
      <c r="G134" s="111"/>
      <c r="H134" s="112"/>
      <c r="I134" s="112"/>
      <c r="J134" s="112"/>
      <c r="K134" s="112"/>
      <c r="L134" s="112"/>
      <c r="M134" s="98"/>
    </row>
    <row r="135" spans="1:13" s="84" customFormat="1" ht="18" hidden="1" customHeight="1" outlineLevel="1" x14ac:dyDescent="0.25">
      <c r="A135" s="13"/>
      <c r="B135" s="43"/>
      <c r="C135" s="57" t="s">
        <v>64</v>
      </c>
      <c r="D135" s="81" t="s">
        <v>7</v>
      </c>
      <c r="E135" s="82">
        <v>0.6</v>
      </c>
      <c r="F135" s="79">
        <f>E135*F123</f>
        <v>30.66</v>
      </c>
      <c r="G135" s="111"/>
      <c r="H135" s="112"/>
      <c r="I135" s="112"/>
      <c r="J135" s="112"/>
      <c r="K135" s="112"/>
      <c r="L135" s="112"/>
      <c r="M135" s="98"/>
    </row>
    <row r="136" spans="1:13" s="84" customFormat="1" ht="18" hidden="1" customHeight="1" outlineLevel="1" x14ac:dyDescent="0.25">
      <c r="A136" s="13"/>
      <c r="B136" s="77"/>
      <c r="C136" s="57"/>
      <c r="D136" s="81"/>
      <c r="E136" s="82"/>
      <c r="F136" s="79"/>
      <c r="G136" s="111"/>
      <c r="H136" s="112"/>
      <c r="I136" s="112"/>
      <c r="J136" s="112"/>
      <c r="K136" s="112"/>
      <c r="L136" s="112"/>
      <c r="M136" s="98"/>
    </row>
    <row r="137" spans="1:13" s="12" customFormat="1" ht="33" customHeight="1" collapsed="1" x14ac:dyDescent="0.25">
      <c r="A137" s="42">
        <v>1.1599999999999999</v>
      </c>
      <c r="B137" s="37" t="s">
        <v>74</v>
      </c>
      <c r="C137" s="44" t="s">
        <v>186</v>
      </c>
      <c r="D137" s="45" t="s">
        <v>15</v>
      </c>
      <c r="E137" s="76"/>
      <c r="F137" s="46">
        <f>F140+0.58+0.024+0.05</f>
        <v>1.0546599999999999</v>
      </c>
      <c r="G137" s="117"/>
      <c r="H137" s="117"/>
      <c r="I137" s="107"/>
      <c r="J137" s="98"/>
      <c r="K137" s="98"/>
      <c r="L137" s="98"/>
      <c r="M137" s="192"/>
    </row>
    <row r="138" spans="1:13" s="10" customFormat="1" ht="18.75" hidden="1" customHeight="1" outlineLevel="1" x14ac:dyDescent="0.2">
      <c r="A138" s="42"/>
      <c r="B138" s="43" t="s">
        <v>25</v>
      </c>
      <c r="C138" s="44" t="s">
        <v>13</v>
      </c>
      <c r="D138" s="45" t="s">
        <v>52</v>
      </c>
      <c r="E138" s="46">
        <v>210</v>
      </c>
      <c r="F138" s="47">
        <f>F137*E138</f>
        <v>221.47859999999997</v>
      </c>
      <c r="G138" s="116"/>
      <c r="H138" s="117"/>
      <c r="I138" s="107"/>
      <c r="J138" s="98"/>
      <c r="K138" s="98"/>
      <c r="L138" s="98"/>
      <c r="M138" s="117"/>
    </row>
    <row r="139" spans="1:13" s="80" customFormat="1" ht="18.75" hidden="1" customHeight="1" outlineLevel="1" x14ac:dyDescent="0.25">
      <c r="A139" s="76"/>
      <c r="B139" s="77"/>
      <c r="C139" s="44" t="s">
        <v>55</v>
      </c>
      <c r="D139" s="78" t="s">
        <v>7</v>
      </c>
      <c r="E139" s="79">
        <v>1.4</v>
      </c>
      <c r="F139" s="79">
        <f>E139*F137</f>
        <v>1.4765239999999997</v>
      </c>
      <c r="G139" s="110"/>
      <c r="H139" s="98"/>
      <c r="I139" s="98"/>
      <c r="J139" s="98"/>
      <c r="K139" s="98"/>
      <c r="L139" s="98"/>
      <c r="M139" s="98"/>
    </row>
    <row r="140" spans="1:13" s="10" customFormat="1" ht="18.75" hidden="1" customHeight="1" outlineLevel="1" x14ac:dyDescent="0.2">
      <c r="A140" s="42"/>
      <c r="B140" s="43" t="s">
        <v>17</v>
      </c>
      <c r="C140" s="44" t="s">
        <v>77</v>
      </c>
      <c r="D140" s="45" t="s">
        <v>15</v>
      </c>
      <c r="E140" s="46"/>
      <c r="F140" s="46">
        <f>(17.42*23)/1000</f>
        <v>0.40066000000000002</v>
      </c>
      <c r="G140" s="118"/>
      <c r="H140" s="119"/>
      <c r="I140" s="107"/>
      <c r="J140" s="98"/>
      <c r="K140" s="98"/>
      <c r="L140" s="98"/>
      <c r="M140" s="98"/>
    </row>
    <row r="141" spans="1:13" s="10" customFormat="1" ht="26.25" hidden="1" customHeight="1" outlineLevel="1" x14ac:dyDescent="0.2">
      <c r="A141" s="42"/>
      <c r="B141" s="43" t="s">
        <v>17</v>
      </c>
      <c r="C141" s="44" t="s">
        <v>89</v>
      </c>
      <c r="D141" s="45" t="s">
        <v>4</v>
      </c>
      <c r="E141" s="46"/>
      <c r="F141" s="46">
        <f>23*0.4*0.4</f>
        <v>3.6800000000000006</v>
      </c>
      <c r="G141" s="118"/>
      <c r="H141" s="119"/>
      <c r="I141" s="107"/>
      <c r="J141" s="98"/>
      <c r="K141" s="98"/>
      <c r="L141" s="98"/>
      <c r="M141" s="98"/>
    </row>
    <row r="142" spans="1:13" s="10" customFormat="1" ht="18.75" hidden="1" customHeight="1" outlineLevel="1" x14ac:dyDescent="0.2">
      <c r="A142" s="42"/>
      <c r="B142" s="43" t="s">
        <v>17</v>
      </c>
      <c r="C142" s="44" t="s">
        <v>90</v>
      </c>
      <c r="D142" s="45" t="s">
        <v>5</v>
      </c>
      <c r="E142" s="46"/>
      <c r="F142" s="46">
        <v>184</v>
      </c>
      <c r="G142" s="118"/>
      <c r="H142" s="119"/>
      <c r="I142" s="107"/>
      <c r="J142" s="98"/>
      <c r="K142" s="98"/>
      <c r="L142" s="98"/>
      <c r="M142" s="98"/>
    </row>
    <row r="143" spans="1:13" s="10" customFormat="1" ht="18.75" hidden="1" customHeight="1" outlineLevel="1" x14ac:dyDescent="0.2">
      <c r="A143" s="42"/>
      <c r="B143" s="43" t="s">
        <v>17</v>
      </c>
      <c r="C143" s="44" t="s">
        <v>79</v>
      </c>
      <c r="D143" s="45" t="s">
        <v>5</v>
      </c>
      <c r="E143" s="46"/>
      <c r="F143" s="46">
        <f>8*23</f>
        <v>184</v>
      </c>
      <c r="G143" s="118"/>
      <c r="H143" s="119"/>
      <c r="I143" s="107"/>
      <c r="J143" s="98"/>
      <c r="K143" s="98"/>
      <c r="L143" s="98"/>
      <c r="M143" s="98"/>
    </row>
    <row r="144" spans="1:13" s="84" customFormat="1" ht="18.75" hidden="1" customHeight="1" outlineLevel="1" x14ac:dyDescent="0.25">
      <c r="A144" s="13"/>
      <c r="B144" s="77"/>
      <c r="C144" s="57" t="s">
        <v>64</v>
      </c>
      <c r="D144" s="81" t="s">
        <v>7</v>
      </c>
      <c r="E144" s="82">
        <v>2</v>
      </c>
      <c r="F144" s="79">
        <f>E144*F134</f>
        <v>4.0240799999999997</v>
      </c>
      <c r="G144" s="111"/>
      <c r="H144" s="112"/>
      <c r="I144" s="112"/>
      <c r="J144" s="112"/>
      <c r="K144" s="112"/>
      <c r="L144" s="112"/>
      <c r="M144" s="98"/>
    </row>
    <row r="145" spans="1:13" s="10" customFormat="1" ht="19.5" hidden="1" customHeight="1" outlineLevel="1" x14ac:dyDescent="0.2">
      <c r="A145" s="42"/>
      <c r="B145" s="43"/>
      <c r="C145" s="44"/>
      <c r="D145" s="45"/>
      <c r="E145" s="46"/>
      <c r="F145" s="46"/>
      <c r="G145" s="116"/>
      <c r="H145" s="117"/>
      <c r="I145" s="109"/>
      <c r="J145" s="98"/>
      <c r="K145" s="98"/>
      <c r="L145" s="98"/>
      <c r="M145" s="117"/>
    </row>
    <row r="146" spans="1:13" s="10" customFormat="1" ht="40.5" customHeight="1" collapsed="1" x14ac:dyDescent="0.2">
      <c r="A146" s="48">
        <v>1.17</v>
      </c>
      <c r="B146" s="37" t="s">
        <v>80</v>
      </c>
      <c r="C146" s="6" t="s">
        <v>188</v>
      </c>
      <c r="D146" s="133" t="s">
        <v>34</v>
      </c>
      <c r="E146" s="191"/>
      <c r="F146" s="8">
        <f>234+25.8+20.4+2+3.3+1</f>
        <v>286.5</v>
      </c>
      <c r="G146" s="106"/>
      <c r="H146" s="106"/>
      <c r="I146" s="107"/>
      <c r="J146" s="108"/>
      <c r="K146" s="108"/>
      <c r="L146" s="108"/>
      <c r="M146" s="193"/>
    </row>
    <row r="147" spans="1:13" s="10" customFormat="1" ht="21" hidden="1" customHeight="1" outlineLevel="1" x14ac:dyDescent="0.2">
      <c r="A147" s="48"/>
      <c r="B147" s="31" t="s">
        <v>25</v>
      </c>
      <c r="C147" s="6" t="s">
        <v>13</v>
      </c>
      <c r="D147" s="133" t="s">
        <v>34</v>
      </c>
      <c r="E147" s="32">
        <v>1</v>
      </c>
      <c r="F147" s="8">
        <f>E147*F146</f>
        <v>286.5</v>
      </c>
      <c r="G147" s="105"/>
      <c r="H147" s="106"/>
      <c r="I147" s="107"/>
      <c r="J147" s="108"/>
      <c r="K147" s="108"/>
      <c r="L147" s="108"/>
      <c r="M147" s="106"/>
    </row>
    <row r="148" spans="1:13" s="80" customFormat="1" ht="18.75" hidden="1" customHeight="1" outlineLevel="1" x14ac:dyDescent="0.25">
      <c r="A148" s="76"/>
      <c r="B148" s="77"/>
      <c r="C148" s="44" t="s">
        <v>55</v>
      </c>
      <c r="D148" s="78" t="s">
        <v>7</v>
      </c>
      <c r="E148" s="79">
        <v>1.1399999999999999</v>
      </c>
      <c r="F148" s="79">
        <f>E148*F146</f>
        <v>326.60999999999996</v>
      </c>
      <c r="G148" s="110"/>
      <c r="H148" s="98"/>
      <c r="I148" s="98"/>
      <c r="J148" s="98"/>
      <c r="K148" s="98"/>
      <c r="L148" s="98"/>
      <c r="M148" s="98"/>
    </row>
    <row r="149" spans="1:13" s="10" customFormat="1" ht="19.5" hidden="1" customHeight="1" outlineLevel="1" x14ac:dyDescent="0.2">
      <c r="A149" s="42"/>
      <c r="B149" s="43" t="s">
        <v>17</v>
      </c>
      <c r="C149" s="44" t="s">
        <v>39</v>
      </c>
      <c r="D149" s="45" t="s">
        <v>34</v>
      </c>
      <c r="E149" s="88">
        <v>1.0149999999999999</v>
      </c>
      <c r="F149" s="46">
        <f>E149*F146</f>
        <v>290.79749999999996</v>
      </c>
      <c r="G149" s="116"/>
      <c r="H149" s="117"/>
      <c r="I149" s="107"/>
      <c r="J149" s="98"/>
      <c r="K149" s="98"/>
      <c r="L149" s="98"/>
      <c r="M149" s="117"/>
    </row>
    <row r="150" spans="1:13" s="10" customFormat="1" ht="20.25" hidden="1" customHeight="1" outlineLevel="1" x14ac:dyDescent="0.2">
      <c r="A150" s="48"/>
      <c r="B150" s="31"/>
      <c r="C150" s="6" t="s">
        <v>33</v>
      </c>
      <c r="D150" s="133" t="s">
        <v>15</v>
      </c>
      <c r="E150" s="35"/>
      <c r="F150" s="32">
        <f>(694.1+252.4+429.1+28.4+504.8+5)/1000</f>
        <v>1.9137999999999999</v>
      </c>
      <c r="G150" s="105"/>
      <c r="H150" s="106"/>
      <c r="I150" s="107"/>
      <c r="J150" s="108"/>
      <c r="K150" s="108"/>
      <c r="L150" s="108"/>
      <c r="M150" s="106"/>
    </row>
    <row r="151" spans="1:13" s="10" customFormat="1" ht="20.25" hidden="1" customHeight="1" outlineLevel="1" x14ac:dyDescent="0.2">
      <c r="A151" s="48"/>
      <c r="B151" s="31"/>
      <c r="C151" s="6" t="s">
        <v>30</v>
      </c>
      <c r="D151" s="133" t="s">
        <v>15</v>
      </c>
      <c r="E151" s="35"/>
      <c r="F151" s="32">
        <f>(2060.5+324.3)/1000</f>
        <v>2.3848000000000003</v>
      </c>
      <c r="G151" s="105"/>
      <c r="H151" s="106"/>
      <c r="I151" s="107"/>
      <c r="J151" s="108"/>
      <c r="K151" s="108"/>
      <c r="L151" s="108"/>
      <c r="M151" s="106"/>
    </row>
    <row r="152" spans="1:13" s="10" customFormat="1" ht="20.25" hidden="1" customHeight="1" outlineLevel="1" x14ac:dyDescent="0.2">
      <c r="A152" s="48"/>
      <c r="B152" s="31"/>
      <c r="C152" s="6" t="s">
        <v>38</v>
      </c>
      <c r="D152" s="133" t="s">
        <v>15</v>
      </c>
      <c r="E152" s="35"/>
      <c r="F152" s="32">
        <f>(3442.2+1897.2+585.4+450.5+225.2+484+52.1+46.6+79.9+75.4+39.3+34.4)/1000</f>
        <v>7.4121999999999986</v>
      </c>
      <c r="G152" s="105"/>
      <c r="H152" s="106"/>
      <c r="I152" s="107"/>
      <c r="J152" s="108"/>
      <c r="K152" s="108"/>
      <c r="L152" s="108"/>
      <c r="M152" s="106"/>
    </row>
    <row r="153" spans="1:13" s="10" customFormat="1" ht="20.25" hidden="1" customHeight="1" outlineLevel="1" x14ac:dyDescent="0.2">
      <c r="A153" s="48"/>
      <c r="B153" s="31"/>
      <c r="C153" s="6" t="s">
        <v>37</v>
      </c>
      <c r="D153" s="133" t="s">
        <v>15</v>
      </c>
      <c r="E153" s="35"/>
      <c r="F153" s="32">
        <f>(257.3+46.1+35.5+3.5+6.2+2.1)/1000</f>
        <v>0.35070000000000007</v>
      </c>
      <c r="G153" s="105"/>
      <c r="H153" s="106"/>
      <c r="I153" s="107"/>
      <c r="J153" s="108"/>
      <c r="K153" s="108"/>
      <c r="L153" s="108"/>
      <c r="M153" s="106"/>
    </row>
    <row r="154" spans="1:13" s="84" customFormat="1" ht="17.25" hidden="1" customHeight="1" outlineLevel="1" x14ac:dyDescent="0.25">
      <c r="A154" s="13"/>
      <c r="B154" s="43" t="s">
        <v>17</v>
      </c>
      <c r="C154" s="57" t="s">
        <v>68</v>
      </c>
      <c r="D154" s="81" t="s">
        <v>69</v>
      </c>
      <c r="E154" s="82"/>
      <c r="F154" s="79">
        <f>(F150+F151+F152+F153)*10</f>
        <v>120.61499999999998</v>
      </c>
      <c r="G154" s="111"/>
      <c r="H154" s="112"/>
      <c r="I154" s="112"/>
      <c r="J154" s="112"/>
      <c r="K154" s="112"/>
      <c r="L154" s="112"/>
      <c r="M154" s="98"/>
    </row>
    <row r="155" spans="1:13" s="84" customFormat="1" ht="17.25" hidden="1" customHeight="1" outlineLevel="1" x14ac:dyDescent="0.25">
      <c r="A155" s="13"/>
      <c r="B155" s="43" t="s">
        <v>17</v>
      </c>
      <c r="C155" s="57" t="s">
        <v>66</v>
      </c>
      <c r="D155" s="81" t="s">
        <v>4</v>
      </c>
      <c r="E155" s="82"/>
      <c r="F155" s="79">
        <f>F146/0.3*2</f>
        <v>1910</v>
      </c>
      <c r="G155" s="111"/>
      <c r="H155" s="112"/>
      <c r="I155" s="112"/>
      <c r="J155" s="112"/>
      <c r="K155" s="112"/>
      <c r="L155" s="112"/>
      <c r="M155" s="98"/>
    </row>
    <row r="156" spans="1:13" s="84" customFormat="1" ht="17.25" hidden="1" customHeight="1" outlineLevel="1" x14ac:dyDescent="0.25">
      <c r="A156" s="13"/>
      <c r="B156" s="43" t="s">
        <v>17</v>
      </c>
      <c r="C156" s="57" t="s">
        <v>67</v>
      </c>
      <c r="D156" s="81" t="s">
        <v>34</v>
      </c>
      <c r="E156" s="85">
        <f>(0.33+3.66)/100</f>
        <v>3.9900000000000005E-2</v>
      </c>
      <c r="F156" s="79">
        <f>E156*F146</f>
        <v>11.431350000000002</v>
      </c>
      <c r="G156" s="111"/>
      <c r="H156" s="112"/>
      <c r="I156" s="112"/>
      <c r="J156" s="112"/>
      <c r="K156" s="112"/>
      <c r="L156" s="112"/>
      <c r="M156" s="98"/>
    </row>
    <row r="157" spans="1:13" s="84" customFormat="1" ht="18" hidden="1" customHeight="1" outlineLevel="1" x14ac:dyDescent="0.25">
      <c r="A157" s="13"/>
      <c r="B157" s="77"/>
      <c r="C157" s="57" t="s">
        <v>64</v>
      </c>
      <c r="D157" s="81" t="s">
        <v>7</v>
      </c>
      <c r="E157" s="82">
        <v>0.32</v>
      </c>
      <c r="F157" s="79">
        <f>E157*F146</f>
        <v>91.68</v>
      </c>
      <c r="G157" s="111"/>
      <c r="H157" s="112"/>
      <c r="I157" s="112"/>
      <c r="J157" s="112"/>
      <c r="K157" s="112"/>
      <c r="L157" s="112"/>
      <c r="M157" s="98"/>
    </row>
    <row r="158" spans="1:13" s="10" customFormat="1" ht="15.75" hidden="1" customHeight="1" outlineLevel="1" x14ac:dyDescent="0.2">
      <c r="A158" s="48"/>
      <c r="B158" s="31"/>
      <c r="C158" s="6"/>
      <c r="D158" s="133"/>
      <c r="E158" s="32"/>
      <c r="F158" s="8"/>
      <c r="G158" s="105"/>
      <c r="H158" s="106"/>
      <c r="I158" s="109"/>
      <c r="J158" s="108"/>
      <c r="K158" s="108"/>
      <c r="L158" s="108"/>
      <c r="M158" s="106"/>
    </row>
    <row r="159" spans="1:13" s="12" customFormat="1" ht="35.25" customHeight="1" collapsed="1" x14ac:dyDescent="0.25">
      <c r="A159" s="48">
        <v>1.18</v>
      </c>
      <c r="B159" s="37" t="s">
        <v>92</v>
      </c>
      <c r="C159" s="6" t="s">
        <v>189</v>
      </c>
      <c r="D159" s="133" t="s">
        <v>34</v>
      </c>
      <c r="E159" s="191"/>
      <c r="F159" s="8">
        <f>2.9+3+2</f>
        <v>7.9</v>
      </c>
      <c r="G159" s="101"/>
      <c r="H159" s="101"/>
      <c r="I159" s="102"/>
      <c r="J159" s="103"/>
      <c r="K159" s="103"/>
      <c r="L159" s="103"/>
      <c r="M159" s="104"/>
    </row>
    <row r="160" spans="1:13" s="10" customFormat="1" ht="21" hidden="1" customHeight="1" outlineLevel="1" x14ac:dyDescent="0.2">
      <c r="A160" s="48"/>
      <c r="B160" s="31" t="s">
        <v>25</v>
      </c>
      <c r="C160" s="6" t="s">
        <v>13</v>
      </c>
      <c r="D160" s="133" t="s">
        <v>34</v>
      </c>
      <c r="E160" s="32">
        <v>1</v>
      </c>
      <c r="F160" s="8">
        <f>E160*F159</f>
        <v>7.9</v>
      </c>
      <c r="G160" s="105"/>
      <c r="H160" s="106"/>
      <c r="I160" s="107"/>
      <c r="J160" s="108"/>
      <c r="K160" s="108"/>
      <c r="L160" s="108"/>
      <c r="M160" s="106"/>
    </row>
    <row r="161" spans="1:13" s="80" customFormat="1" ht="18.75" hidden="1" customHeight="1" outlineLevel="1" x14ac:dyDescent="0.25">
      <c r="A161" s="76"/>
      <c r="B161" s="77"/>
      <c r="C161" s="44" t="s">
        <v>55</v>
      </c>
      <c r="D161" s="78" t="s">
        <v>7</v>
      </c>
      <c r="E161" s="79">
        <v>1.28</v>
      </c>
      <c r="F161" s="79">
        <f>E161*F159</f>
        <v>10.112</v>
      </c>
      <c r="G161" s="110"/>
      <c r="H161" s="98"/>
      <c r="I161" s="98"/>
      <c r="J161" s="98"/>
      <c r="K161" s="98"/>
      <c r="L161" s="98"/>
      <c r="M161" s="98"/>
    </row>
    <row r="162" spans="1:13" s="10" customFormat="1" ht="19.5" hidden="1" customHeight="1" outlineLevel="1" x14ac:dyDescent="0.2">
      <c r="A162" s="42"/>
      <c r="B162" s="43" t="s">
        <v>17</v>
      </c>
      <c r="C162" s="44" t="s">
        <v>39</v>
      </c>
      <c r="D162" s="45" t="s">
        <v>34</v>
      </c>
      <c r="E162" s="88">
        <v>1.0149999999999999</v>
      </c>
      <c r="F162" s="46">
        <f>E162*F159</f>
        <v>8.0184999999999995</v>
      </c>
      <c r="G162" s="116"/>
      <c r="H162" s="117"/>
      <c r="I162" s="120"/>
      <c r="J162" s="98"/>
      <c r="K162" s="98"/>
      <c r="L162" s="98"/>
      <c r="M162" s="117"/>
    </row>
    <row r="163" spans="1:13" s="10" customFormat="1" ht="20.25" hidden="1" customHeight="1" outlineLevel="1" x14ac:dyDescent="0.2">
      <c r="A163" s="48"/>
      <c r="B163" s="31"/>
      <c r="C163" s="6" t="s">
        <v>30</v>
      </c>
      <c r="D163" s="133" t="s">
        <v>15</v>
      </c>
      <c r="E163" s="35"/>
      <c r="F163" s="32">
        <f>(133.1+9.6+138.4+9.6+92.1+15.3)/1000</f>
        <v>0.39810000000000006</v>
      </c>
      <c r="G163" s="105"/>
      <c r="H163" s="106"/>
      <c r="I163" s="120"/>
      <c r="J163" s="108"/>
      <c r="K163" s="108"/>
      <c r="L163" s="108"/>
      <c r="M163" s="106"/>
    </row>
    <row r="164" spans="1:13" s="10" customFormat="1" ht="20.25" hidden="1" customHeight="1" outlineLevel="1" x14ac:dyDescent="0.2">
      <c r="A164" s="48"/>
      <c r="B164" s="31"/>
      <c r="C164" s="6" t="s">
        <v>38</v>
      </c>
      <c r="D164" s="133" t="s">
        <v>15</v>
      </c>
      <c r="E164" s="35"/>
      <c r="F164" s="32">
        <f>(23.3+20.3+23.3+23.2+42.4)/1000</f>
        <v>0.13250000000000001</v>
      </c>
      <c r="G164" s="105"/>
      <c r="H164" s="106"/>
      <c r="I164" s="120"/>
      <c r="J164" s="108"/>
      <c r="K164" s="108"/>
      <c r="L164" s="108"/>
      <c r="M164" s="106"/>
    </row>
    <row r="165" spans="1:13" s="10" customFormat="1" ht="20.25" hidden="1" customHeight="1" outlineLevel="1" x14ac:dyDescent="0.2">
      <c r="A165" s="48"/>
      <c r="B165" s="31"/>
      <c r="C165" s="6" t="s">
        <v>37</v>
      </c>
      <c r="D165" s="133" t="s">
        <v>15</v>
      </c>
      <c r="E165" s="35"/>
      <c r="F165" s="32">
        <f>(9.5+30.3+4.7+9.5+30.3+4.7+13.5+4.2+15.1+5.3)/1000</f>
        <v>0.12709999999999999</v>
      </c>
      <c r="G165" s="105"/>
      <c r="H165" s="106"/>
      <c r="I165" s="120"/>
      <c r="J165" s="108"/>
      <c r="K165" s="108"/>
      <c r="L165" s="108"/>
      <c r="M165" s="106"/>
    </row>
    <row r="166" spans="1:13" s="84" customFormat="1" ht="17.25" hidden="1" customHeight="1" outlineLevel="1" x14ac:dyDescent="0.25">
      <c r="A166" s="13"/>
      <c r="B166" s="43" t="s">
        <v>17</v>
      </c>
      <c r="C166" s="57" t="s">
        <v>68</v>
      </c>
      <c r="D166" s="81" t="s">
        <v>69</v>
      </c>
      <c r="E166" s="82"/>
      <c r="F166" s="79">
        <f>(F163+F164+F165)*10</f>
        <v>6.5770000000000008</v>
      </c>
      <c r="G166" s="111"/>
      <c r="H166" s="112"/>
      <c r="I166" s="121"/>
      <c r="J166" s="112"/>
      <c r="K166" s="112"/>
      <c r="L166" s="112"/>
      <c r="M166" s="98"/>
    </row>
    <row r="167" spans="1:13" s="84" customFormat="1" ht="17.25" hidden="1" customHeight="1" outlineLevel="1" x14ac:dyDescent="0.25">
      <c r="A167" s="13"/>
      <c r="B167" s="43" t="s">
        <v>17</v>
      </c>
      <c r="C167" s="57" t="s">
        <v>66</v>
      </c>
      <c r="D167" s="81" t="s">
        <v>4</v>
      </c>
      <c r="E167" s="82"/>
      <c r="F167" s="79">
        <f>F159/0.2</f>
        <v>39.5</v>
      </c>
      <c r="G167" s="111"/>
      <c r="H167" s="112"/>
      <c r="I167" s="121"/>
      <c r="J167" s="112"/>
      <c r="K167" s="112"/>
      <c r="L167" s="112"/>
      <c r="M167" s="98"/>
    </row>
    <row r="168" spans="1:13" s="84" customFormat="1" ht="17.25" hidden="1" customHeight="1" outlineLevel="1" x14ac:dyDescent="0.25">
      <c r="A168" s="13"/>
      <c r="B168" s="43" t="s">
        <v>17</v>
      </c>
      <c r="C168" s="57" t="s">
        <v>67</v>
      </c>
      <c r="D168" s="81" t="s">
        <v>34</v>
      </c>
      <c r="E168" s="85">
        <f>(0.33+3.66)/100</f>
        <v>3.9900000000000005E-2</v>
      </c>
      <c r="F168" s="79">
        <f>E168*F159</f>
        <v>0.31521000000000005</v>
      </c>
      <c r="G168" s="111"/>
      <c r="H168" s="112"/>
      <c r="I168" s="121"/>
      <c r="J168" s="112"/>
      <c r="K168" s="112"/>
      <c r="L168" s="112"/>
      <c r="M168" s="98"/>
    </row>
    <row r="169" spans="1:13" s="84" customFormat="1" ht="18" hidden="1" customHeight="1" outlineLevel="1" x14ac:dyDescent="0.25">
      <c r="A169" s="13"/>
      <c r="B169" s="77"/>
      <c r="C169" s="57" t="s">
        <v>64</v>
      </c>
      <c r="D169" s="81" t="s">
        <v>7</v>
      </c>
      <c r="E169" s="82">
        <v>2.29</v>
      </c>
      <c r="F169" s="79">
        <f>E169*F159</f>
        <v>18.091000000000001</v>
      </c>
      <c r="G169" s="111"/>
      <c r="H169" s="112"/>
      <c r="I169" s="121"/>
      <c r="J169" s="112"/>
      <c r="K169" s="112"/>
      <c r="L169" s="112"/>
      <c r="M169" s="98"/>
    </row>
    <row r="170" spans="1:13" s="10" customFormat="1" ht="15.75" hidden="1" customHeight="1" outlineLevel="1" x14ac:dyDescent="0.2">
      <c r="A170" s="48"/>
      <c r="B170" s="31"/>
      <c r="C170" s="6"/>
      <c r="D170" s="133"/>
      <c r="E170" s="32"/>
      <c r="F170" s="8"/>
      <c r="G170" s="105"/>
      <c r="H170" s="106"/>
      <c r="I170" s="109"/>
      <c r="J170" s="108"/>
      <c r="K170" s="108"/>
      <c r="L170" s="108"/>
      <c r="M170" s="106"/>
    </row>
    <row r="171" spans="1:13" s="12" customFormat="1" ht="32.25" customHeight="1" collapsed="1" x14ac:dyDescent="0.25">
      <c r="A171" s="42">
        <v>1.19</v>
      </c>
      <c r="B171" s="37" t="s">
        <v>74</v>
      </c>
      <c r="C171" s="44" t="s">
        <v>94</v>
      </c>
      <c r="D171" s="45" t="s">
        <v>34</v>
      </c>
      <c r="E171" s="76"/>
      <c r="F171" s="8">
        <f>11.52+6.4+1.92</f>
        <v>19.840000000000003</v>
      </c>
      <c r="G171" s="113"/>
      <c r="H171" s="113"/>
      <c r="I171" s="102"/>
      <c r="J171" s="114"/>
      <c r="K171" s="114"/>
      <c r="L171" s="114"/>
      <c r="M171" s="115"/>
    </row>
    <row r="172" spans="1:13" s="10" customFormat="1" ht="21.75" hidden="1" customHeight="1" outlineLevel="1" x14ac:dyDescent="0.2">
      <c r="A172" s="42"/>
      <c r="B172" s="43" t="s">
        <v>25</v>
      </c>
      <c r="C172" s="44" t="s">
        <v>13</v>
      </c>
      <c r="D172" s="45" t="s">
        <v>34</v>
      </c>
      <c r="E172" s="46">
        <v>1</v>
      </c>
      <c r="F172" s="47">
        <f>F171*E172</f>
        <v>19.840000000000003</v>
      </c>
      <c r="G172" s="116"/>
      <c r="H172" s="117"/>
      <c r="I172" s="107"/>
      <c r="J172" s="98"/>
      <c r="K172" s="98"/>
      <c r="L172" s="98"/>
      <c r="M172" s="117"/>
    </row>
    <row r="173" spans="1:13" s="80" customFormat="1" ht="21.75" hidden="1" customHeight="1" outlineLevel="1" x14ac:dyDescent="0.25">
      <c r="A173" s="76"/>
      <c r="B173" s="77"/>
      <c r="C173" s="44" t="s">
        <v>55</v>
      </c>
      <c r="D173" s="78" t="s">
        <v>7</v>
      </c>
      <c r="E173" s="79">
        <v>3.36</v>
      </c>
      <c r="F173" s="79">
        <f>E173*F171</f>
        <v>66.662400000000005</v>
      </c>
      <c r="G173" s="110"/>
      <c r="H173" s="98"/>
      <c r="I173" s="98"/>
      <c r="J173" s="98"/>
      <c r="K173" s="98"/>
      <c r="L173" s="98"/>
      <c r="M173" s="98"/>
    </row>
    <row r="174" spans="1:13" s="10" customFormat="1" ht="19.5" hidden="1" customHeight="1" outlineLevel="1" x14ac:dyDescent="0.2">
      <c r="A174" s="42"/>
      <c r="B174" s="43" t="s">
        <v>17</v>
      </c>
      <c r="C174" s="44" t="s">
        <v>39</v>
      </c>
      <c r="D174" s="45" t="s">
        <v>34</v>
      </c>
      <c r="E174" s="88">
        <v>1.0149999999999999</v>
      </c>
      <c r="F174" s="46">
        <f>E174*F171</f>
        <v>20.137600000000003</v>
      </c>
      <c r="G174" s="116"/>
      <c r="H174" s="117"/>
      <c r="I174" s="120"/>
      <c r="J174" s="98"/>
      <c r="K174" s="98"/>
      <c r="L174" s="98"/>
      <c r="M174" s="117"/>
    </row>
    <row r="175" spans="1:13" s="10" customFormat="1" ht="20.25" hidden="1" customHeight="1" outlineLevel="1" x14ac:dyDescent="0.2">
      <c r="A175" s="48"/>
      <c r="B175" s="43" t="s">
        <v>17</v>
      </c>
      <c r="C175" s="6" t="s">
        <v>32</v>
      </c>
      <c r="D175" s="133" t="s">
        <v>15</v>
      </c>
      <c r="E175" s="35"/>
      <c r="F175" s="32">
        <f>(1597.3+266.2+354.9)/1000</f>
        <v>2.2183999999999999</v>
      </c>
      <c r="G175" s="105"/>
      <c r="H175" s="106"/>
      <c r="I175" s="120"/>
      <c r="J175" s="108"/>
      <c r="K175" s="108"/>
      <c r="L175" s="108"/>
      <c r="M175" s="106"/>
    </row>
    <row r="176" spans="1:13" s="10" customFormat="1" ht="20.25" hidden="1" customHeight="1" outlineLevel="1" x14ac:dyDescent="0.2">
      <c r="A176" s="48"/>
      <c r="B176" s="43" t="s">
        <v>17</v>
      </c>
      <c r="C176" s="6" t="s">
        <v>33</v>
      </c>
      <c r="D176" s="133" t="s">
        <v>15</v>
      </c>
      <c r="E176" s="35"/>
      <c r="F176" s="32">
        <f>567.9/1000</f>
        <v>0.56789999999999996</v>
      </c>
      <c r="G176" s="105"/>
      <c r="H176" s="106"/>
      <c r="I176" s="120"/>
      <c r="J176" s="108"/>
      <c r="K176" s="108"/>
      <c r="L176" s="108"/>
      <c r="M176" s="106"/>
    </row>
    <row r="177" spans="1:13" s="10" customFormat="1" ht="20.25" hidden="1" customHeight="1" outlineLevel="1" x14ac:dyDescent="0.2">
      <c r="A177" s="48"/>
      <c r="B177" s="43" t="s">
        <v>17</v>
      </c>
      <c r="C177" s="6" t="s">
        <v>37</v>
      </c>
      <c r="D177" s="133" t="s">
        <v>15</v>
      </c>
      <c r="E177" s="35"/>
      <c r="F177" s="32">
        <f>(370.1+290.5+205.6+161.4+205.6+161.4)/1000</f>
        <v>1.3946000000000001</v>
      </c>
      <c r="G177" s="105"/>
      <c r="H177" s="106"/>
      <c r="I177" s="120"/>
      <c r="J177" s="108"/>
      <c r="K177" s="108"/>
      <c r="L177" s="108"/>
      <c r="M177" s="106"/>
    </row>
    <row r="178" spans="1:13" s="84" customFormat="1" ht="17.25" hidden="1" customHeight="1" outlineLevel="1" x14ac:dyDescent="0.25">
      <c r="A178" s="13"/>
      <c r="B178" s="43" t="s">
        <v>17</v>
      </c>
      <c r="C178" s="57" t="s">
        <v>68</v>
      </c>
      <c r="D178" s="81" t="s">
        <v>69</v>
      </c>
      <c r="E178" s="82"/>
      <c r="F178" s="79">
        <f>(F175+F176+F177)*10</f>
        <v>41.808999999999997</v>
      </c>
      <c r="G178" s="111"/>
      <c r="H178" s="112"/>
      <c r="I178" s="112"/>
      <c r="J178" s="112"/>
      <c r="K178" s="112"/>
      <c r="L178" s="112"/>
      <c r="M178" s="98"/>
    </row>
    <row r="179" spans="1:13" s="84" customFormat="1" ht="17.25" hidden="1" customHeight="1" outlineLevel="1" x14ac:dyDescent="0.25">
      <c r="A179" s="13"/>
      <c r="B179" s="43" t="s">
        <v>17</v>
      </c>
      <c r="C179" s="57" t="s">
        <v>66</v>
      </c>
      <c r="D179" s="81" t="s">
        <v>4</v>
      </c>
      <c r="E179" s="82"/>
      <c r="F179" s="79">
        <f>31*1.2*4</f>
        <v>148.79999999999998</v>
      </c>
      <c r="G179" s="111"/>
      <c r="H179" s="112"/>
      <c r="I179" s="112"/>
      <c r="J179" s="112"/>
      <c r="K179" s="112"/>
      <c r="L179" s="112"/>
      <c r="M179" s="98"/>
    </row>
    <row r="180" spans="1:13" s="84" customFormat="1" ht="17.25" hidden="1" customHeight="1" outlineLevel="1" x14ac:dyDescent="0.25">
      <c r="A180" s="13"/>
      <c r="B180" s="43" t="s">
        <v>17</v>
      </c>
      <c r="C180" s="57" t="s">
        <v>67</v>
      </c>
      <c r="D180" s="81" t="s">
        <v>34</v>
      </c>
      <c r="E180" s="85">
        <f>(5.81+0.67)/100</f>
        <v>6.4799999999999996E-2</v>
      </c>
      <c r="F180" s="79">
        <f>E180*F171</f>
        <v>1.2856320000000001</v>
      </c>
      <c r="G180" s="111"/>
      <c r="H180" s="112"/>
      <c r="I180" s="112"/>
      <c r="J180" s="112"/>
      <c r="K180" s="112"/>
      <c r="L180" s="112"/>
      <c r="M180" s="98"/>
    </row>
    <row r="181" spans="1:13" s="84" customFormat="1" ht="18" hidden="1" customHeight="1" outlineLevel="1" x14ac:dyDescent="0.25">
      <c r="A181" s="13"/>
      <c r="B181" s="43"/>
      <c r="C181" s="57" t="s">
        <v>64</v>
      </c>
      <c r="D181" s="81" t="s">
        <v>7</v>
      </c>
      <c r="E181" s="82">
        <v>0.6</v>
      </c>
      <c r="F181" s="79">
        <f>E181*F169</f>
        <v>10.8546</v>
      </c>
      <c r="G181" s="111"/>
      <c r="H181" s="112"/>
      <c r="I181" s="112"/>
      <c r="J181" s="112"/>
      <c r="K181" s="112"/>
      <c r="L181" s="112"/>
      <c r="M181" s="98"/>
    </row>
    <row r="182" spans="1:13" s="84" customFormat="1" ht="18" hidden="1" customHeight="1" outlineLevel="1" x14ac:dyDescent="0.25">
      <c r="A182" s="13"/>
      <c r="B182" s="77"/>
      <c r="C182" s="57"/>
      <c r="D182" s="81"/>
      <c r="E182" s="82"/>
      <c r="F182" s="79"/>
      <c r="G182" s="111"/>
      <c r="H182" s="112"/>
      <c r="I182" s="112"/>
      <c r="J182" s="112"/>
      <c r="K182" s="112"/>
      <c r="L182" s="112"/>
      <c r="M182" s="98"/>
    </row>
    <row r="183" spans="1:13" s="12" customFormat="1" ht="51.75" customHeight="1" collapsed="1" x14ac:dyDescent="0.25">
      <c r="A183" s="79">
        <v>1.2</v>
      </c>
      <c r="B183" s="37" t="s">
        <v>92</v>
      </c>
      <c r="C183" s="6" t="s">
        <v>190</v>
      </c>
      <c r="D183" s="45" t="s">
        <v>34</v>
      </c>
      <c r="E183" s="76"/>
      <c r="F183" s="8">
        <f>136.4+21.4</f>
        <v>157.80000000000001</v>
      </c>
      <c r="G183" s="113"/>
      <c r="H183" s="113"/>
      <c r="I183" s="102"/>
      <c r="J183" s="114"/>
      <c r="K183" s="114"/>
      <c r="L183" s="114"/>
      <c r="M183" s="115"/>
    </row>
    <row r="184" spans="1:13" s="10" customFormat="1" ht="21.75" hidden="1" customHeight="1" outlineLevel="1" x14ac:dyDescent="0.2">
      <c r="A184" s="42"/>
      <c r="B184" s="43" t="s">
        <v>25</v>
      </c>
      <c r="C184" s="44" t="s">
        <v>13</v>
      </c>
      <c r="D184" s="45" t="s">
        <v>34</v>
      </c>
      <c r="E184" s="46">
        <v>1</v>
      </c>
      <c r="F184" s="47">
        <f>F183*E184</f>
        <v>157.80000000000001</v>
      </c>
      <c r="G184" s="116"/>
      <c r="H184" s="117"/>
      <c r="I184" s="107"/>
      <c r="J184" s="98"/>
      <c r="K184" s="98"/>
      <c r="L184" s="98"/>
      <c r="M184" s="117"/>
    </row>
    <row r="185" spans="1:13" s="80" customFormat="1" ht="21.75" hidden="1" customHeight="1" outlineLevel="1" x14ac:dyDescent="0.25">
      <c r="A185" s="76"/>
      <c r="B185" s="77"/>
      <c r="C185" s="44" t="s">
        <v>55</v>
      </c>
      <c r="D185" s="78" t="s">
        <v>7</v>
      </c>
      <c r="E185" s="79">
        <v>1.28</v>
      </c>
      <c r="F185" s="79">
        <f>E185*F183</f>
        <v>201.98400000000001</v>
      </c>
      <c r="G185" s="110"/>
      <c r="H185" s="98"/>
      <c r="I185" s="98"/>
      <c r="J185" s="98"/>
      <c r="K185" s="98"/>
      <c r="L185" s="98"/>
      <c r="M185" s="98"/>
    </row>
    <row r="186" spans="1:13" s="10" customFormat="1" ht="19.5" hidden="1" customHeight="1" outlineLevel="1" x14ac:dyDescent="0.2">
      <c r="A186" s="42"/>
      <c r="B186" s="43" t="s">
        <v>17</v>
      </c>
      <c r="C186" s="44" t="s">
        <v>39</v>
      </c>
      <c r="D186" s="45" t="s">
        <v>34</v>
      </c>
      <c r="E186" s="88">
        <v>1.0149999999999999</v>
      </c>
      <c r="F186" s="46">
        <f>E186*F183</f>
        <v>160.167</v>
      </c>
      <c r="G186" s="116"/>
      <c r="H186" s="117"/>
      <c r="I186" s="120"/>
      <c r="J186" s="98"/>
      <c r="K186" s="98"/>
      <c r="L186" s="98"/>
      <c r="M186" s="117"/>
    </row>
    <row r="187" spans="1:13" s="10" customFormat="1" ht="20.25" hidden="1" customHeight="1" outlineLevel="1" x14ac:dyDescent="0.2">
      <c r="A187" s="48"/>
      <c r="B187" s="31" t="s">
        <v>17</v>
      </c>
      <c r="C187" s="6" t="s">
        <v>32</v>
      </c>
      <c r="D187" s="133" t="s">
        <v>15</v>
      </c>
      <c r="E187" s="35"/>
      <c r="F187" s="32">
        <f>(2563.5+126.2)/1000</f>
        <v>2.6896999999999998</v>
      </c>
      <c r="G187" s="105"/>
      <c r="H187" s="106"/>
      <c r="I187" s="107"/>
      <c r="J187" s="108"/>
      <c r="K187" s="108"/>
      <c r="L187" s="108"/>
      <c r="M187" s="106"/>
    </row>
    <row r="188" spans="1:13" s="10" customFormat="1" ht="20.25" hidden="1" customHeight="1" outlineLevel="1" x14ac:dyDescent="0.2">
      <c r="A188" s="48"/>
      <c r="B188" s="43" t="s">
        <v>17</v>
      </c>
      <c r="C188" s="6" t="s">
        <v>33</v>
      </c>
      <c r="D188" s="133" t="s">
        <v>15</v>
      </c>
      <c r="E188" s="35"/>
      <c r="F188" s="32">
        <f>(94.7+1640.6)/1000</f>
        <v>1.7353000000000001</v>
      </c>
      <c r="G188" s="105"/>
      <c r="H188" s="106"/>
      <c r="I188" s="107"/>
      <c r="J188" s="108"/>
      <c r="K188" s="108"/>
      <c r="L188" s="108"/>
      <c r="M188" s="106"/>
    </row>
    <row r="189" spans="1:13" s="10" customFormat="1" ht="20.25" hidden="1" customHeight="1" outlineLevel="1" x14ac:dyDescent="0.2">
      <c r="A189" s="48"/>
      <c r="B189" s="31" t="s">
        <v>17</v>
      </c>
      <c r="C189" s="6" t="s">
        <v>30</v>
      </c>
      <c r="D189" s="133" t="s">
        <v>15</v>
      </c>
      <c r="E189" s="35"/>
      <c r="F189" s="32">
        <f>(1064.8+195.2+38.5)/1000</f>
        <v>1.2985</v>
      </c>
      <c r="G189" s="105"/>
      <c r="H189" s="106"/>
      <c r="I189" s="107"/>
      <c r="J189" s="108"/>
      <c r="K189" s="108"/>
      <c r="L189" s="108"/>
      <c r="M189" s="106"/>
    </row>
    <row r="190" spans="1:13" s="10" customFormat="1" ht="20.25" hidden="1" customHeight="1" outlineLevel="1" x14ac:dyDescent="0.2">
      <c r="A190" s="48"/>
      <c r="B190" s="43" t="s">
        <v>17</v>
      </c>
      <c r="C190" s="6" t="s">
        <v>38</v>
      </c>
      <c r="D190" s="133" t="s">
        <v>15</v>
      </c>
      <c r="E190" s="35"/>
      <c r="F190" s="32">
        <f>(4621.7+4621.7)/1000</f>
        <v>9.2433999999999994</v>
      </c>
      <c r="G190" s="105"/>
      <c r="H190" s="106"/>
      <c r="I190" s="107"/>
      <c r="J190" s="108"/>
      <c r="K190" s="108"/>
      <c r="L190" s="108"/>
      <c r="M190" s="106"/>
    </row>
    <row r="191" spans="1:13" s="10" customFormat="1" ht="20.25" hidden="1" customHeight="1" outlineLevel="1" x14ac:dyDescent="0.2">
      <c r="A191" s="48"/>
      <c r="B191" s="31" t="s">
        <v>17</v>
      </c>
      <c r="C191" s="6" t="s">
        <v>37</v>
      </c>
      <c r="D191" s="133" t="s">
        <v>15</v>
      </c>
      <c r="E191" s="35"/>
      <c r="F191" s="32">
        <f>(242.5+565.9+1800+36+213)/1000</f>
        <v>2.8574000000000002</v>
      </c>
      <c r="G191" s="105"/>
      <c r="H191" s="106"/>
      <c r="I191" s="107"/>
      <c r="J191" s="108"/>
      <c r="K191" s="108"/>
      <c r="L191" s="108"/>
      <c r="M191" s="106"/>
    </row>
    <row r="192" spans="1:13" s="84" customFormat="1" ht="17.25" hidden="1" customHeight="1" outlineLevel="1" x14ac:dyDescent="0.25">
      <c r="A192" s="13"/>
      <c r="B192" s="43" t="s">
        <v>17</v>
      </c>
      <c r="C192" s="57" t="s">
        <v>68</v>
      </c>
      <c r="D192" s="81" t="s">
        <v>69</v>
      </c>
      <c r="E192" s="82"/>
      <c r="F192" s="79">
        <f>(F187+F188+F189+F190+F191)*10</f>
        <v>178.24299999999999</v>
      </c>
      <c r="G192" s="111"/>
      <c r="H192" s="112"/>
      <c r="I192" s="112"/>
      <c r="J192" s="112"/>
      <c r="K192" s="112"/>
      <c r="L192" s="112"/>
      <c r="M192" s="98"/>
    </row>
    <row r="193" spans="1:13" s="84" customFormat="1" ht="17.25" hidden="1" customHeight="1" outlineLevel="1" x14ac:dyDescent="0.25">
      <c r="A193" s="13"/>
      <c r="B193" s="31" t="s">
        <v>17</v>
      </c>
      <c r="C193" s="57" t="s">
        <v>66</v>
      </c>
      <c r="D193" s="81" t="s">
        <v>4</v>
      </c>
      <c r="E193" s="82"/>
      <c r="F193" s="79">
        <f>F183/0.2*1.3</f>
        <v>1025.7</v>
      </c>
      <c r="G193" s="111"/>
      <c r="H193" s="112"/>
      <c r="I193" s="112"/>
      <c r="J193" s="112"/>
      <c r="K193" s="112"/>
      <c r="L193" s="112"/>
      <c r="M193" s="98"/>
    </row>
    <row r="194" spans="1:13" s="84" customFormat="1" ht="17.25" hidden="1" customHeight="1" outlineLevel="1" x14ac:dyDescent="0.25">
      <c r="A194" s="13"/>
      <c r="B194" s="43" t="s">
        <v>17</v>
      </c>
      <c r="C194" s="57" t="s">
        <v>67</v>
      </c>
      <c r="D194" s="81" t="s">
        <v>34</v>
      </c>
      <c r="E194" s="85">
        <f>(1.4+4.29+0.2)/100</f>
        <v>5.8899999999999994E-2</v>
      </c>
      <c r="F194" s="79">
        <f>E194*F183</f>
        <v>9.2944200000000006</v>
      </c>
      <c r="G194" s="111"/>
      <c r="H194" s="112"/>
      <c r="I194" s="112"/>
      <c r="J194" s="112"/>
      <c r="K194" s="112"/>
      <c r="L194" s="112"/>
      <c r="M194" s="98"/>
    </row>
    <row r="195" spans="1:13" s="84" customFormat="1" ht="18" hidden="1" customHeight="1" outlineLevel="1" x14ac:dyDescent="0.25">
      <c r="A195" s="13"/>
      <c r="B195" s="43"/>
      <c r="C195" s="57" t="s">
        <v>64</v>
      </c>
      <c r="D195" s="81" t="s">
        <v>7</v>
      </c>
      <c r="E195" s="82">
        <v>0.6</v>
      </c>
      <c r="F195" s="79">
        <f>E195*F181</f>
        <v>6.5127599999999992</v>
      </c>
      <c r="G195" s="111"/>
      <c r="H195" s="112"/>
      <c r="I195" s="112"/>
      <c r="J195" s="112"/>
      <c r="K195" s="112"/>
      <c r="L195" s="112"/>
      <c r="M195" s="98"/>
    </row>
    <row r="196" spans="1:13" s="84" customFormat="1" ht="18" hidden="1" customHeight="1" outlineLevel="1" x14ac:dyDescent="0.25">
      <c r="A196" s="13"/>
      <c r="B196" s="77"/>
      <c r="C196" s="57"/>
      <c r="D196" s="81"/>
      <c r="E196" s="82"/>
      <c r="F196" s="79"/>
      <c r="G196" s="111"/>
      <c r="H196" s="112"/>
      <c r="I196" s="112"/>
      <c r="J196" s="112"/>
      <c r="K196" s="112"/>
      <c r="L196" s="112"/>
      <c r="M196" s="98"/>
    </row>
    <row r="197" spans="1:13" s="12" customFormat="1" ht="54" customHeight="1" collapsed="1" x14ac:dyDescent="0.25">
      <c r="A197" s="42">
        <v>1.21</v>
      </c>
      <c r="B197" s="37" t="s">
        <v>92</v>
      </c>
      <c r="C197" s="6" t="s">
        <v>191</v>
      </c>
      <c r="D197" s="45" t="s">
        <v>34</v>
      </c>
      <c r="E197" s="76"/>
      <c r="F197" s="8">
        <f>140.4+22</f>
        <v>162.4</v>
      </c>
      <c r="G197" s="113"/>
      <c r="H197" s="113"/>
      <c r="I197" s="102"/>
      <c r="J197" s="114"/>
      <c r="K197" s="114"/>
      <c r="L197" s="114"/>
      <c r="M197" s="115"/>
    </row>
    <row r="198" spans="1:13" s="10" customFormat="1" ht="21.75" hidden="1" customHeight="1" outlineLevel="1" x14ac:dyDescent="0.2">
      <c r="A198" s="42"/>
      <c r="B198" s="43" t="s">
        <v>25</v>
      </c>
      <c r="C198" s="44" t="s">
        <v>13</v>
      </c>
      <c r="D198" s="45" t="s">
        <v>34</v>
      </c>
      <c r="E198" s="46">
        <v>1</v>
      </c>
      <c r="F198" s="47">
        <f>F197*E198</f>
        <v>162.4</v>
      </c>
      <c r="G198" s="116"/>
      <c r="H198" s="117"/>
      <c r="I198" s="107"/>
      <c r="J198" s="98"/>
      <c r="K198" s="98"/>
      <c r="L198" s="98"/>
      <c r="M198" s="117"/>
    </row>
    <row r="199" spans="1:13" s="80" customFormat="1" ht="21.75" hidden="1" customHeight="1" outlineLevel="1" x14ac:dyDescent="0.25">
      <c r="A199" s="76"/>
      <c r="B199" s="77"/>
      <c r="C199" s="44" t="s">
        <v>55</v>
      </c>
      <c r="D199" s="78" t="s">
        <v>7</v>
      </c>
      <c r="E199" s="79">
        <v>1.28</v>
      </c>
      <c r="F199" s="79">
        <f>E199*F197</f>
        <v>207.87200000000001</v>
      </c>
      <c r="G199" s="110"/>
      <c r="H199" s="98"/>
      <c r="I199" s="98"/>
      <c r="J199" s="98"/>
      <c r="K199" s="98"/>
      <c r="L199" s="98"/>
      <c r="M199" s="98"/>
    </row>
    <row r="200" spans="1:13" s="10" customFormat="1" ht="19.5" hidden="1" customHeight="1" outlineLevel="1" x14ac:dyDescent="0.2">
      <c r="A200" s="42"/>
      <c r="B200" s="43" t="s">
        <v>17</v>
      </c>
      <c r="C200" s="44" t="s">
        <v>39</v>
      </c>
      <c r="D200" s="45" t="s">
        <v>34</v>
      </c>
      <c r="E200" s="88">
        <v>1.0149999999999999</v>
      </c>
      <c r="F200" s="46">
        <f>E200*F197</f>
        <v>164.83599999999998</v>
      </c>
      <c r="G200" s="116"/>
      <c r="H200" s="117"/>
      <c r="I200" s="120"/>
      <c r="J200" s="98"/>
      <c r="K200" s="98"/>
      <c r="L200" s="98"/>
      <c r="M200" s="117"/>
    </row>
    <row r="201" spans="1:13" s="10" customFormat="1" ht="20.25" hidden="1" customHeight="1" outlineLevel="1" x14ac:dyDescent="0.2">
      <c r="A201" s="48"/>
      <c r="B201" s="31"/>
      <c r="C201" s="6" t="s">
        <v>32</v>
      </c>
      <c r="D201" s="133" t="s">
        <v>15</v>
      </c>
      <c r="E201" s="35"/>
      <c r="F201" s="32">
        <f>(3056.5+84.8)/1000</f>
        <v>3.1413000000000002</v>
      </c>
      <c r="G201" s="105"/>
      <c r="H201" s="106"/>
      <c r="I201" s="107"/>
      <c r="J201" s="108"/>
      <c r="K201" s="108"/>
      <c r="L201" s="108"/>
      <c r="M201" s="106"/>
    </row>
    <row r="202" spans="1:13" s="10" customFormat="1" ht="20.25" hidden="1" customHeight="1" outlineLevel="1" x14ac:dyDescent="0.2">
      <c r="A202" s="48"/>
      <c r="B202" s="31"/>
      <c r="C202" s="6" t="s">
        <v>33</v>
      </c>
      <c r="D202" s="133" t="s">
        <v>15</v>
      </c>
      <c r="E202" s="35"/>
      <c r="F202" s="32">
        <f>(94.7+1956.1)/1000</f>
        <v>2.0507999999999997</v>
      </c>
      <c r="G202" s="105"/>
      <c r="H202" s="106"/>
      <c r="I202" s="107"/>
      <c r="J202" s="108"/>
      <c r="K202" s="108"/>
      <c r="L202" s="108"/>
      <c r="M202" s="106"/>
    </row>
    <row r="203" spans="1:13" s="10" customFormat="1" ht="20.25" hidden="1" customHeight="1" outlineLevel="1" x14ac:dyDescent="0.2">
      <c r="A203" s="48"/>
      <c r="B203" s="31"/>
      <c r="C203" s="6" t="s">
        <v>38</v>
      </c>
      <c r="D203" s="133" t="s">
        <v>15</v>
      </c>
      <c r="E203" s="35"/>
      <c r="F203" s="32">
        <f>(4744.9+4744.9+770.3+55.5)/1000</f>
        <v>10.315599999999998</v>
      </c>
      <c r="G203" s="105"/>
      <c r="H203" s="106"/>
      <c r="I203" s="107"/>
      <c r="J203" s="108"/>
      <c r="K203" s="108"/>
      <c r="L203" s="108"/>
      <c r="M203" s="106"/>
    </row>
    <row r="204" spans="1:13" s="10" customFormat="1" ht="20.25" hidden="1" customHeight="1" outlineLevel="1" x14ac:dyDescent="0.2">
      <c r="A204" s="48"/>
      <c r="B204" s="31"/>
      <c r="C204" s="6" t="s">
        <v>37</v>
      </c>
      <c r="D204" s="133" t="s">
        <v>15</v>
      </c>
      <c r="E204" s="35"/>
      <c r="F204" s="32">
        <f>(248.5+579.7+2236.2+24.6)/1000</f>
        <v>3.0889999999999995</v>
      </c>
      <c r="G204" s="105"/>
      <c r="H204" s="106"/>
      <c r="I204" s="107"/>
      <c r="J204" s="108"/>
      <c r="K204" s="108"/>
      <c r="L204" s="108"/>
      <c r="M204" s="106"/>
    </row>
    <row r="205" spans="1:13" s="84" customFormat="1" ht="17.25" hidden="1" customHeight="1" outlineLevel="1" x14ac:dyDescent="0.25">
      <c r="A205" s="13"/>
      <c r="B205" s="43" t="s">
        <v>17</v>
      </c>
      <c r="C205" s="57" t="s">
        <v>68</v>
      </c>
      <c r="D205" s="81" t="s">
        <v>69</v>
      </c>
      <c r="E205" s="82"/>
      <c r="F205" s="79">
        <f>(F201+F202+F203+F204)*10</f>
        <v>185.96699999999998</v>
      </c>
      <c r="G205" s="111"/>
      <c r="H205" s="112"/>
      <c r="I205" s="112"/>
      <c r="J205" s="112"/>
      <c r="K205" s="112"/>
      <c r="L205" s="112"/>
      <c r="M205" s="98"/>
    </row>
    <row r="206" spans="1:13" s="84" customFormat="1" ht="17.25" hidden="1" customHeight="1" outlineLevel="1" x14ac:dyDescent="0.25">
      <c r="A206" s="13"/>
      <c r="B206" s="31" t="s">
        <v>17</v>
      </c>
      <c r="C206" s="57" t="s">
        <v>66</v>
      </c>
      <c r="D206" s="81" t="s">
        <v>4</v>
      </c>
      <c r="E206" s="82"/>
      <c r="F206" s="79">
        <f>F197/0.2*1.3</f>
        <v>1055.6000000000001</v>
      </c>
      <c r="G206" s="111"/>
      <c r="H206" s="112"/>
      <c r="I206" s="112"/>
      <c r="J206" s="112"/>
      <c r="K206" s="112"/>
      <c r="L206" s="112"/>
      <c r="M206" s="98"/>
    </row>
    <row r="207" spans="1:13" s="84" customFormat="1" ht="17.25" hidden="1" customHeight="1" outlineLevel="1" x14ac:dyDescent="0.25">
      <c r="A207" s="13"/>
      <c r="B207" s="43" t="s">
        <v>17</v>
      </c>
      <c r="C207" s="57" t="s">
        <v>67</v>
      </c>
      <c r="D207" s="81" t="s">
        <v>34</v>
      </c>
      <c r="E207" s="85">
        <f>(1.4+4.29+0.2)/100</f>
        <v>5.8899999999999994E-2</v>
      </c>
      <c r="F207" s="79">
        <f>E207*F197</f>
        <v>9.5653600000000001</v>
      </c>
      <c r="G207" s="111"/>
      <c r="H207" s="112"/>
      <c r="I207" s="112"/>
      <c r="J207" s="112"/>
      <c r="K207" s="112"/>
      <c r="L207" s="112"/>
      <c r="M207" s="98"/>
    </row>
    <row r="208" spans="1:13" s="84" customFormat="1" ht="18" hidden="1" customHeight="1" outlineLevel="1" x14ac:dyDescent="0.25">
      <c r="A208" s="13"/>
      <c r="B208" s="43"/>
      <c r="C208" s="57" t="s">
        <v>64</v>
      </c>
      <c r="D208" s="81" t="s">
        <v>7</v>
      </c>
      <c r="E208" s="82">
        <v>0.6</v>
      </c>
      <c r="F208" s="79">
        <f>E208*F195</f>
        <v>3.9076559999999994</v>
      </c>
      <c r="G208" s="111"/>
      <c r="H208" s="112"/>
      <c r="I208" s="112"/>
      <c r="J208" s="112"/>
      <c r="K208" s="112"/>
      <c r="L208" s="112"/>
      <c r="M208" s="98"/>
    </row>
    <row r="209" spans="1:13" s="84" customFormat="1" ht="18" hidden="1" customHeight="1" outlineLevel="1" x14ac:dyDescent="0.25">
      <c r="A209" s="13"/>
      <c r="B209" s="77"/>
      <c r="C209" s="57"/>
      <c r="D209" s="81"/>
      <c r="E209" s="82"/>
      <c r="F209" s="79"/>
      <c r="G209" s="111"/>
      <c r="H209" s="112"/>
      <c r="I209" s="112"/>
      <c r="J209" s="112"/>
      <c r="K209" s="112"/>
      <c r="L209" s="112"/>
      <c r="M209" s="98"/>
    </row>
    <row r="210" spans="1:13" s="12" customFormat="1" ht="54" customHeight="1" collapsed="1" x14ac:dyDescent="0.25">
      <c r="A210" s="42">
        <v>1.22</v>
      </c>
      <c r="B210" s="37"/>
      <c r="C210" s="6" t="s">
        <v>193</v>
      </c>
      <c r="D210" s="45" t="s">
        <v>4</v>
      </c>
      <c r="E210" s="76"/>
      <c r="F210" s="8">
        <v>1113.05</v>
      </c>
      <c r="G210" s="113"/>
      <c r="H210" s="113"/>
      <c r="I210" s="102"/>
      <c r="J210" s="114"/>
      <c r="K210" s="114"/>
      <c r="L210" s="114"/>
      <c r="M210" s="115"/>
    </row>
    <row r="211" spans="1:13" s="10" customFormat="1" ht="21.75" hidden="1" customHeight="1" outlineLevel="1" x14ac:dyDescent="0.2">
      <c r="A211" s="42"/>
      <c r="B211" s="43" t="s">
        <v>25</v>
      </c>
      <c r="C211" s="44" t="s">
        <v>13</v>
      </c>
      <c r="D211" s="45" t="s">
        <v>4</v>
      </c>
      <c r="E211" s="46">
        <v>1</v>
      </c>
      <c r="F211" s="47">
        <f>F210*E211</f>
        <v>1113.05</v>
      </c>
      <c r="G211" s="116"/>
      <c r="H211" s="117"/>
      <c r="I211" s="107"/>
      <c r="J211" s="98"/>
      <c r="K211" s="98"/>
      <c r="L211" s="98"/>
      <c r="M211" s="117"/>
    </row>
    <row r="212" spans="1:13" s="10" customFormat="1" ht="19.5" hidden="1" customHeight="1" outlineLevel="1" x14ac:dyDescent="0.2">
      <c r="A212" s="42"/>
      <c r="B212" s="43" t="s">
        <v>17</v>
      </c>
      <c r="C212" s="44" t="s">
        <v>120</v>
      </c>
      <c r="D212" s="45" t="s">
        <v>4</v>
      </c>
      <c r="E212" s="88">
        <v>1.1499999999999999</v>
      </c>
      <c r="F212" s="46">
        <f>E212*F210</f>
        <v>1280.0074999999999</v>
      </c>
      <c r="G212" s="116"/>
      <c r="H212" s="117"/>
      <c r="I212" s="120"/>
      <c r="J212" s="98"/>
      <c r="K212" s="98"/>
      <c r="L212" s="98"/>
      <c r="M212" s="117"/>
    </row>
    <row r="213" spans="1:13" s="10" customFormat="1" ht="19.5" hidden="1" customHeight="1" outlineLevel="1" x14ac:dyDescent="0.2">
      <c r="A213" s="42"/>
      <c r="B213" s="43" t="s">
        <v>17</v>
      </c>
      <c r="C213" s="44" t="s">
        <v>121</v>
      </c>
      <c r="D213" s="45" t="s">
        <v>4</v>
      </c>
      <c r="E213" s="88">
        <v>1.1499999999999999</v>
      </c>
      <c r="F213" s="46">
        <f>E213*F211</f>
        <v>1280.0074999999999</v>
      </c>
      <c r="G213" s="116"/>
      <c r="H213" s="117"/>
      <c r="I213" s="120"/>
      <c r="J213" s="98"/>
      <c r="K213" s="98"/>
      <c r="L213" s="98"/>
      <c r="M213" s="117"/>
    </row>
    <row r="214" spans="1:13" s="10" customFormat="1" ht="19.5" hidden="1" customHeight="1" outlineLevel="1" x14ac:dyDescent="0.2">
      <c r="A214" s="42"/>
      <c r="B214" s="43"/>
      <c r="C214" s="44" t="s">
        <v>192</v>
      </c>
      <c r="D214" s="45" t="s">
        <v>4</v>
      </c>
      <c r="E214" s="88">
        <v>1.1499999999999999</v>
      </c>
      <c r="F214" s="46">
        <f>E214*F210</f>
        <v>1280.0074999999999</v>
      </c>
      <c r="G214" s="116"/>
      <c r="H214" s="117"/>
      <c r="I214" s="120"/>
      <c r="J214" s="98"/>
      <c r="K214" s="98"/>
      <c r="L214" s="98"/>
      <c r="M214" s="117"/>
    </row>
    <row r="215" spans="1:13" s="10" customFormat="1" ht="20.25" hidden="1" customHeight="1" outlineLevel="1" x14ac:dyDescent="0.2">
      <c r="A215" s="48"/>
      <c r="B215" s="31"/>
      <c r="C215" s="6" t="s">
        <v>122</v>
      </c>
      <c r="D215" s="133" t="s">
        <v>69</v>
      </c>
      <c r="E215" s="32">
        <v>0.2</v>
      </c>
      <c r="F215" s="32">
        <f>E215*F210</f>
        <v>222.61</v>
      </c>
      <c r="G215" s="105"/>
      <c r="H215" s="106"/>
      <c r="I215" s="120"/>
      <c r="J215" s="108"/>
      <c r="K215" s="108"/>
      <c r="L215" s="108"/>
      <c r="M215" s="106"/>
    </row>
    <row r="216" spans="1:13" s="84" customFormat="1" ht="18" hidden="1" customHeight="1" outlineLevel="1" x14ac:dyDescent="0.25">
      <c r="A216" s="13"/>
      <c r="B216" s="77"/>
      <c r="C216" s="57"/>
      <c r="D216" s="81"/>
      <c r="E216" s="82"/>
      <c r="F216" s="79"/>
      <c r="G216" s="111"/>
      <c r="H216" s="112"/>
      <c r="I216" s="112"/>
      <c r="J216" s="112"/>
      <c r="K216" s="112"/>
      <c r="L216" s="112"/>
      <c r="M216" s="98"/>
    </row>
    <row r="217" spans="1:13" s="10" customFormat="1" ht="24.75" customHeight="1" collapsed="1" x14ac:dyDescent="0.2">
      <c r="A217" s="48"/>
      <c r="B217" s="31"/>
      <c r="C217" s="11" t="s">
        <v>97</v>
      </c>
      <c r="D217" s="133"/>
      <c r="E217" s="32"/>
      <c r="F217" s="8"/>
      <c r="G217" s="105"/>
      <c r="H217" s="106"/>
      <c r="I217" s="109"/>
      <c r="J217" s="108"/>
      <c r="K217" s="108"/>
      <c r="L217" s="108"/>
      <c r="M217" s="106"/>
    </row>
    <row r="218" spans="1:13" s="93" customFormat="1" ht="42" customHeight="1" x14ac:dyDescent="0.25">
      <c r="A218" s="42">
        <v>2.1</v>
      </c>
      <c r="B218" s="75" t="s">
        <v>98</v>
      </c>
      <c r="C218" s="6" t="s">
        <v>194</v>
      </c>
      <c r="D218" s="45" t="s">
        <v>15</v>
      </c>
      <c r="E218" s="79"/>
      <c r="F218" s="194">
        <f>F222+F223+F224+F225+F226+F227+F228+F229+0.016+0.0184+0.065</f>
        <v>32.609479999999998</v>
      </c>
      <c r="G218" s="114"/>
      <c r="H218" s="114"/>
      <c r="I218" s="114"/>
      <c r="J218" s="114"/>
      <c r="K218" s="114"/>
      <c r="L218" s="114"/>
      <c r="M218" s="114"/>
    </row>
    <row r="219" spans="1:13" s="96" customFormat="1" ht="38.25" hidden="1" customHeight="1" outlineLevel="1" x14ac:dyDescent="0.25">
      <c r="A219" s="94"/>
      <c r="B219" s="77" t="s">
        <v>25</v>
      </c>
      <c r="C219" s="44" t="s">
        <v>99</v>
      </c>
      <c r="D219" s="78" t="s">
        <v>15</v>
      </c>
      <c r="E219" s="79">
        <v>1</v>
      </c>
      <c r="F219" s="95">
        <f>E219*F218</f>
        <v>32.609479999999998</v>
      </c>
      <c r="G219" s="107"/>
      <c r="H219" s="98"/>
      <c r="I219" s="98"/>
      <c r="J219" s="98"/>
      <c r="K219" s="98"/>
      <c r="L219" s="98"/>
      <c r="M219" s="122"/>
    </row>
    <row r="220" spans="1:13" s="80" customFormat="1" ht="19.5" hidden="1" customHeight="1" outlineLevel="1" x14ac:dyDescent="0.25">
      <c r="A220" s="76"/>
      <c r="B220" s="77" t="s">
        <v>17</v>
      </c>
      <c r="C220" s="44" t="s">
        <v>105</v>
      </c>
      <c r="D220" s="78" t="s">
        <v>54</v>
      </c>
      <c r="E220" s="79">
        <f>0.6+0.75</f>
        <v>1.35</v>
      </c>
      <c r="F220" s="79">
        <f>E220*F218</f>
        <v>44.022798000000002</v>
      </c>
      <c r="G220" s="110"/>
      <c r="H220" s="98"/>
      <c r="I220" s="98"/>
      <c r="J220" s="98"/>
      <c r="K220" s="98"/>
      <c r="L220" s="98"/>
      <c r="M220" s="98"/>
    </row>
    <row r="221" spans="1:13" s="80" customFormat="1" ht="21.75" hidden="1" customHeight="1" outlineLevel="1" x14ac:dyDescent="0.25">
      <c r="A221" s="76"/>
      <c r="B221" s="77" t="s">
        <v>17</v>
      </c>
      <c r="C221" s="44" t="s">
        <v>55</v>
      </c>
      <c r="D221" s="78" t="s">
        <v>7</v>
      </c>
      <c r="E221" s="79">
        <v>1.92</v>
      </c>
      <c r="F221" s="79">
        <f>E221*F218</f>
        <v>62.610201599999996</v>
      </c>
      <c r="G221" s="110"/>
      <c r="H221" s="98"/>
      <c r="I221" s="98"/>
      <c r="J221" s="98"/>
      <c r="K221" s="98"/>
      <c r="L221" s="98"/>
      <c r="M221" s="98"/>
    </row>
    <row r="222" spans="1:13" s="10" customFormat="1" ht="20.25" hidden="1" customHeight="1" outlineLevel="1" x14ac:dyDescent="0.2">
      <c r="A222" s="48"/>
      <c r="B222" s="77" t="s">
        <v>17</v>
      </c>
      <c r="C222" s="6" t="s">
        <v>133</v>
      </c>
      <c r="D222" s="133" t="s">
        <v>15</v>
      </c>
      <c r="E222" s="35"/>
      <c r="F222" s="32">
        <f>(9898.2+2994.84+15407.78+455.57)/1000</f>
        <v>28.75639</v>
      </c>
      <c r="G222" s="105"/>
      <c r="H222" s="106"/>
      <c r="I222" s="107"/>
      <c r="J222" s="108"/>
      <c r="K222" s="108"/>
      <c r="L222" s="108"/>
      <c r="M222" s="98"/>
    </row>
    <row r="223" spans="1:13" s="10" customFormat="1" ht="29.25" hidden="1" customHeight="1" outlineLevel="1" x14ac:dyDescent="0.2">
      <c r="A223" s="42"/>
      <c r="B223" s="77" t="s">
        <v>17</v>
      </c>
      <c r="C223" s="73" t="s">
        <v>134</v>
      </c>
      <c r="D223" s="45" t="s">
        <v>15</v>
      </c>
      <c r="E223" s="46"/>
      <c r="F223" s="46">
        <f>348.54/1000</f>
        <v>0.34854000000000002</v>
      </c>
      <c r="G223" s="116"/>
      <c r="H223" s="117"/>
      <c r="I223" s="107"/>
      <c r="J223" s="108"/>
      <c r="K223" s="98"/>
      <c r="L223" s="98"/>
      <c r="M223" s="98"/>
    </row>
    <row r="224" spans="1:13" s="10" customFormat="1" ht="29.25" hidden="1" customHeight="1" outlineLevel="1" x14ac:dyDescent="0.2">
      <c r="A224" s="42"/>
      <c r="B224" s="77" t="s">
        <v>17</v>
      </c>
      <c r="C224" s="73" t="s">
        <v>135</v>
      </c>
      <c r="D224" s="45" t="s">
        <v>15</v>
      </c>
      <c r="E224" s="46"/>
      <c r="F224" s="46">
        <f>780.33/1000</f>
        <v>0.78033000000000008</v>
      </c>
      <c r="G224" s="116"/>
      <c r="H224" s="117"/>
      <c r="I224" s="107"/>
      <c r="J224" s="108"/>
      <c r="K224" s="98"/>
      <c r="L224" s="98"/>
      <c r="M224" s="98"/>
    </row>
    <row r="225" spans="1:20" s="10" customFormat="1" ht="29.25" hidden="1" customHeight="1" outlineLevel="1" x14ac:dyDescent="0.2">
      <c r="A225" s="42"/>
      <c r="B225" s="77" t="s">
        <v>17</v>
      </c>
      <c r="C225" s="73" t="s">
        <v>136</v>
      </c>
      <c r="D225" s="45" t="s">
        <v>15</v>
      </c>
      <c r="E225" s="46"/>
      <c r="F225" s="46">
        <f>(25.12*23)/1000</f>
        <v>0.57775999999999994</v>
      </c>
      <c r="G225" s="116"/>
      <c r="H225" s="117"/>
      <c r="I225" s="107"/>
      <c r="J225" s="108"/>
      <c r="K225" s="98"/>
      <c r="L225" s="98"/>
      <c r="M225" s="98"/>
      <c r="N225" s="10">
        <f>78.52*2</f>
        <v>157.04</v>
      </c>
    </row>
    <row r="226" spans="1:20" s="10" customFormat="1" ht="29.25" hidden="1" customHeight="1" outlineLevel="1" x14ac:dyDescent="0.2">
      <c r="A226" s="42"/>
      <c r="B226" s="77" t="s">
        <v>17</v>
      </c>
      <c r="C226" s="73" t="s">
        <v>137</v>
      </c>
      <c r="D226" s="45" t="s">
        <v>15</v>
      </c>
      <c r="E226" s="46"/>
      <c r="F226" s="46">
        <f>929.44/1000</f>
        <v>0.92944000000000004</v>
      </c>
      <c r="G226" s="116"/>
      <c r="H226" s="117"/>
      <c r="I226" s="107"/>
      <c r="J226" s="108"/>
      <c r="K226" s="98"/>
      <c r="L226" s="98"/>
      <c r="M226" s="98"/>
    </row>
    <row r="227" spans="1:20" s="10" customFormat="1" ht="29.25" hidden="1" customHeight="1" outlineLevel="1" x14ac:dyDescent="0.2">
      <c r="A227" s="42"/>
      <c r="B227" s="77" t="s">
        <v>17</v>
      </c>
      <c r="C227" s="73" t="s">
        <v>138</v>
      </c>
      <c r="D227" s="45" t="s">
        <v>15</v>
      </c>
      <c r="E227" s="46"/>
      <c r="F227" s="46">
        <f>565.2/1000</f>
        <v>0.56520000000000004</v>
      </c>
      <c r="G227" s="116"/>
      <c r="H227" s="117"/>
      <c r="I227" s="107"/>
      <c r="J227" s="108"/>
      <c r="K227" s="98"/>
      <c r="L227" s="98"/>
      <c r="M227" s="98"/>
    </row>
    <row r="228" spans="1:20" s="10" customFormat="1" ht="29.25" hidden="1" customHeight="1" outlineLevel="1" x14ac:dyDescent="0.2">
      <c r="A228" s="42"/>
      <c r="B228" s="77" t="s">
        <v>17</v>
      </c>
      <c r="C228" s="73" t="s">
        <v>139</v>
      </c>
      <c r="D228" s="45" t="s">
        <v>15</v>
      </c>
      <c r="E228" s="46"/>
      <c r="F228" s="46">
        <f>480.42/1000</f>
        <v>0.48042000000000001</v>
      </c>
      <c r="G228" s="116"/>
      <c r="H228" s="117"/>
      <c r="I228" s="107"/>
      <c r="J228" s="108"/>
      <c r="K228" s="98"/>
      <c r="L228" s="98"/>
      <c r="M228" s="98"/>
    </row>
    <row r="229" spans="1:20" s="10" customFormat="1" ht="22.5" hidden="1" customHeight="1" outlineLevel="1" x14ac:dyDescent="0.2">
      <c r="A229" s="42"/>
      <c r="B229" s="77" t="s">
        <v>17</v>
      </c>
      <c r="C229" s="73" t="s">
        <v>48</v>
      </c>
      <c r="D229" s="45" t="s">
        <v>15</v>
      </c>
      <c r="E229" s="46"/>
      <c r="F229" s="46">
        <f>72/1000</f>
        <v>7.1999999999999995E-2</v>
      </c>
      <c r="G229" s="116"/>
      <c r="H229" s="117"/>
      <c r="I229" s="107"/>
      <c r="J229" s="108"/>
      <c r="K229" s="98"/>
      <c r="L229" s="98"/>
      <c r="M229" s="98"/>
    </row>
    <row r="230" spans="1:20" s="10" customFormat="1" ht="20.25" hidden="1" customHeight="1" outlineLevel="1" x14ac:dyDescent="0.2">
      <c r="A230" s="48"/>
      <c r="B230" s="77" t="s">
        <v>17</v>
      </c>
      <c r="C230" s="6" t="s">
        <v>103</v>
      </c>
      <c r="D230" s="133" t="s">
        <v>5</v>
      </c>
      <c r="E230" s="35"/>
      <c r="F230" s="32">
        <v>160</v>
      </c>
      <c r="G230" s="105"/>
      <c r="H230" s="106"/>
      <c r="I230" s="107"/>
      <c r="J230" s="108"/>
      <c r="K230" s="108"/>
      <c r="L230" s="108"/>
      <c r="M230" s="98"/>
    </row>
    <row r="231" spans="1:20" s="10" customFormat="1" ht="20.25" hidden="1" customHeight="1" outlineLevel="1" x14ac:dyDescent="0.2">
      <c r="A231" s="48"/>
      <c r="B231" s="77" t="s">
        <v>17</v>
      </c>
      <c r="C231" s="6" t="s">
        <v>104</v>
      </c>
      <c r="D231" s="133" t="s">
        <v>5</v>
      </c>
      <c r="E231" s="35"/>
      <c r="F231" s="32">
        <v>80</v>
      </c>
      <c r="G231" s="105"/>
      <c r="H231" s="106"/>
      <c r="I231" s="107"/>
      <c r="J231" s="108"/>
      <c r="K231" s="108"/>
      <c r="L231" s="108"/>
      <c r="M231" s="98"/>
    </row>
    <row r="232" spans="1:20" s="84" customFormat="1" ht="18" hidden="1" customHeight="1" outlineLevel="1" x14ac:dyDescent="0.25">
      <c r="A232" s="13"/>
      <c r="B232" s="77" t="s">
        <v>17</v>
      </c>
      <c r="C232" s="57" t="s">
        <v>101</v>
      </c>
      <c r="D232" s="81" t="s">
        <v>69</v>
      </c>
      <c r="E232" s="82">
        <v>2</v>
      </c>
      <c r="F232" s="79">
        <f>E232*F218</f>
        <v>65.218959999999996</v>
      </c>
      <c r="G232" s="111"/>
      <c r="H232" s="112"/>
      <c r="I232" s="112"/>
      <c r="J232" s="112"/>
      <c r="K232" s="112"/>
      <c r="L232" s="112"/>
      <c r="M232" s="98"/>
      <c r="N232" s="83"/>
      <c r="O232" s="83"/>
      <c r="P232" s="83"/>
      <c r="Q232" s="83"/>
      <c r="R232" s="83"/>
      <c r="S232" s="83"/>
      <c r="T232" s="83"/>
    </row>
    <row r="233" spans="1:20" s="97" customFormat="1" ht="20.25" hidden="1" customHeight="1" outlineLevel="1" x14ac:dyDescent="0.2">
      <c r="A233" s="42"/>
      <c r="B233" s="77"/>
      <c r="C233" s="44" t="s">
        <v>102</v>
      </c>
      <c r="D233" s="78" t="s">
        <v>7</v>
      </c>
      <c r="E233" s="79">
        <v>2.78</v>
      </c>
      <c r="F233" s="79">
        <f>E233*F218</f>
        <v>90.654354399999988</v>
      </c>
      <c r="G233" s="98"/>
      <c r="H233" s="98"/>
      <c r="I233" s="98"/>
      <c r="J233" s="98"/>
      <c r="K233" s="98"/>
      <c r="L233" s="98"/>
      <c r="M233" s="98"/>
    </row>
    <row r="234" spans="1:20" s="97" customFormat="1" ht="18.75" hidden="1" customHeight="1" outlineLevel="1" x14ac:dyDescent="0.2">
      <c r="A234" s="42"/>
      <c r="B234" s="77"/>
      <c r="C234" s="44"/>
      <c r="D234" s="78"/>
      <c r="E234" s="79"/>
      <c r="F234" s="79"/>
      <c r="G234" s="98"/>
      <c r="H234" s="98"/>
      <c r="I234" s="98"/>
      <c r="J234" s="98"/>
      <c r="K234" s="98"/>
      <c r="L234" s="98"/>
      <c r="M234" s="98"/>
    </row>
    <row r="235" spans="1:20" s="93" customFormat="1" ht="68.25" customHeight="1" collapsed="1" x14ac:dyDescent="0.25">
      <c r="A235" s="42">
        <v>2.2000000000000002</v>
      </c>
      <c r="B235" s="75" t="s">
        <v>106</v>
      </c>
      <c r="C235" s="44" t="s">
        <v>118</v>
      </c>
      <c r="D235" s="45" t="s">
        <v>15</v>
      </c>
      <c r="E235" s="79"/>
      <c r="F235" s="8">
        <f>F239+F240+F241+F242+F243+F244+F245+F246+F247+F248+F249</f>
        <v>89.081159999999997</v>
      </c>
      <c r="G235" s="114"/>
      <c r="H235" s="114"/>
      <c r="I235" s="114"/>
      <c r="J235" s="114"/>
      <c r="K235" s="114"/>
      <c r="L235" s="114"/>
      <c r="M235" s="114"/>
    </row>
    <row r="236" spans="1:20" s="96" customFormat="1" ht="18" hidden="1" customHeight="1" outlineLevel="1" x14ac:dyDescent="0.25">
      <c r="A236" s="94"/>
      <c r="B236" s="43" t="s">
        <v>25</v>
      </c>
      <c r="C236" s="44" t="s">
        <v>13</v>
      </c>
      <c r="D236" s="78" t="s">
        <v>15</v>
      </c>
      <c r="E236" s="79">
        <v>1</v>
      </c>
      <c r="F236" s="95">
        <f>E236*F235</f>
        <v>89.081159999999997</v>
      </c>
      <c r="G236" s="107"/>
      <c r="H236" s="98"/>
      <c r="I236" s="98"/>
      <c r="J236" s="98"/>
      <c r="K236" s="98"/>
      <c r="L236" s="98"/>
      <c r="M236" s="122"/>
    </row>
    <row r="237" spans="1:20" s="80" customFormat="1" ht="18" hidden="1" customHeight="1" outlineLevel="1" x14ac:dyDescent="0.25">
      <c r="A237" s="76"/>
      <c r="B237" s="77" t="s">
        <v>17</v>
      </c>
      <c r="C237" s="44" t="s">
        <v>100</v>
      </c>
      <c r="D237" s="78" t="s">
        <v>54</v>
      </c>
      <c r="E237" s="79">
        <f>1.02+0.31</f>
        <v>1.33</v>
      </c>
      <c r="F237" s="79">
        <f>E237*F235</f>
        <v>118.47794280000001</v>
      </c>
      <c r="G237" s="110"/>
      <c r="H237" s="98"/>
      <c r="I237" s="98"/>
      <c r="J237" s="98"/>
      <c r="K237" s="98"/>
      <c r="L237" s="98"/>
      <c r="M237" s="98"/>
    </row>
    <row r="238" spans="1:20" s="80" customFormat="1" ht="18" hidden="1" customHeight="1" outlineLevel="1" x14ac:dyDescent="0.25">
      <c r="A238" s="76"/>
      <c r="B238" s="77" t="s">
        <v>17</v>
      </c>
      <c r="C238" s="44" t="s">
        <v>55</v>
      </c>
      <c r="D238" s="78" t="s">
        <v>7</v>
      </c>
      <c r="E238" s="79">
        <v>4.3099999999999996</v>
      </c>
      <c r="F238" s="79">
        <f>E238*F235</f>
        <v>383.93979959999996</v>
      </c>
      <c r="G238" s="110"/>
      <c r="H238" s="98"/>
      <c r="I238" s="98"/>
      <c r="J238" s="98"/>
      <c r="K238" s="98"/>
      <c r="L238" s="98"/>
      <c r="M238" s="98"/>
    </row>
    <row r="239" spans="1:20" s="10" customFormat="1" ht="17.25" hidden="1" customHeight="1" outlineLevel="1" x14ac:dyDescent="0.2">
      <c r="A239" s="48"/>
      <c r="B239" s="77" t="s">
        <v>17</v>
      </c>
      <c r="C239" s="6" t="s">
        <v>108</v>
      </c>
      <c r="D239" s="133" t="s">
        <v>15</v>
      </c>
      <c r="E239" s="35"/>
      <c r="F239" s="32">
        <f>(375.31+371.14+283.21+282.18+92.78+91.66+33.88+136.07+185.57+183.32+185.57+183.32+185.57+183.32+5606.94+2744.82+5668.41+2785.17+900.86+4898.45)/1000</f>
        <v>25.377549999999999</v>
      </c>
      <c r="G239" s="105"/>
      <c r="H239" s="106"/>
      <c r="I239" s="109"/>
      <c r="J239" s="108"/>
      <c r="K239" s="108"/>
      <c r="L239" s="108"/>
      <c r="M239" s="106"/>
    </row>
    <row r="240" spans="1:20" s="10" customFormat="1" ht="17.25" hidden="1" customHeight="1" outlineLevel="1" x14ac:dyDescent="0.2">
      <c r="A240" s="48"/>
      <c r="B240" s="77" t="s">
        <v>17</v>
      </c>
      <c r="C240" s="6" t="s">
        <v>109</v>
      </c>
      <c r="D240" s="133" t="s">
        <v>15</v>
      </c>
      <c r="E240" s="35"/>
      <c r="F240" s="32">
        <f>(1243.61+1243.61+3190.74+4350.22+294.24)/1000</f>
        <v>10.322419999999999</v>
      </c>
      <c r="G240" s="105"/>
      <c r="H240" s="106"/>
      <c r="I240" s="109"/>
      <c r="J240" s="108"/>
      <c r="K240" s="108"/>
      <c r="L240" s="108"/>
      <c r="M240" s="106"/>
    </row>
    <row r="241" spans="1:20" s="10" customFormat="1" ht="17.25" hidden="1" customHeight="1" outlineLevel="1" x14ac:dyDescent="0.2">
      <c r="A241" s="48"/>
      <c r="B241" s="77" t="s">
        <v>17</v>
      </c>
      <c r="C241" s="6" t="s">
        <v>110</v>
      </c>
      <c r="D241" s="133" t="s">
        <v>15</v>
      </c>
      <c r="E241" s="35"/>
      <c r="F241" s="32">
        <f>(1999.82+996.42+992.44+479.26+875.9+791.08+706.25+540.66+459.89+379.5+298.73+217.96+137.19+56.43+502.31+542.14+544.72+623.64+627.33+731.7+733.91+857.83+863.73+1001.29+1007.19+1712.71+2897+167.43+512.34+435.67+1286.98)/1000</f>
        <v>23.979449999999993</v>
      </c>
      <c r="G241" s="105"/>
      <c r="H241" s="106"/>
      <c r="I241" s="109"/>
      <c r="J241" s="108"/>
      <c r="K241" s="108"/>
      <c r="L241" s="108"/>
      <c r="M241" s="106"/>
    </row>
    <row r="242" spans="1:20" s="10" customFormat="1" ht="27" hidden="1" customHeight="1" outlineLevel="1" x14ac:dyDescent="0.2">
      <c r="A242" s="48"/>
      <c r="B242" s="77" t="s">
        <v>17</v>
      </c>
      <c r="C242" s="6" t="s">
        <v>111</v>
      </c>
      <c r="D242" s="133" t="s">
        <v>15</v>
      </c>
      <c r="E242" s="35"/>
      <c r="F242" s="32">
        <f>(170.41*20)/1000</f>
        <v>3.4081999999999999</v>
      </c>
      <c r="G242" s="105"/>
      <c r="H242" s="106"/>
      <c r="I242" s="109"/>
      <c r="J242" s="108"/>
      <c r="K242" s="108"/>
      <c r="L242" s="108"/>
      <c r="M242" s="106"/>
    </row>
    <row r="243" spans="1:20" s="10" customFormat="1" ht="27" hidden="1" customHeight="1" outlineLevel="1" x14ac:dyDescent="0.2">
      <c r="A243" s="48"/>
      <c r="B243" s="77" t="s">
        <v>17</v>
      </c>
      <c r="C243" s="6" t="s">
        <v>112</v>
      </c>
      <c r="D243" s="133" t="s">
        <v>15</v>
      </c>
      <c r="E243" s="35"/>
      <c r="F243" s="32">
        <f>(11.74*20)/1000</f>
        <v>0.23480000000000001</v>
      </c>
      <c r="G243" s="105"/>
      <c r="H243" s="106"/>
      <c r="I243" s="109"/>
      <c r="J243" s="108"/>
      <c r="K243" s="108"/>
      <c r="L243" s="108"/>
      <c r="M243" s="106"/>
    </row>
    <row r="244" spans="1:20" s="10" customFormat="1" ht="27" hidden="1" customHeight="1" outlineLevel="1" x14ac:dyDescent="0.2">
      <c r="A244" s="48"/>
      <c r="B244" s="77" t="s">
        <v>17</v>
      </c>
      <c r="C244" s="6" t="s">
        <v>113</v>
      </c>
      <c r="D244" s="133" t="s">
        <v>15</v>
      </c>
      <c r="E244" s="35"/>
      <c r="F244" s="32">
        <f>(5.26*20)/1000</f>
        <v>0.10519999999999999</v>
      </c>
      <c r="G244" s="105"/>
      <c r="H244" s="106"/>
      <c r="I244" s="109"/>
      <c r="J244" s="108"/>
      <c r="K244" s="108"/>
      <c r="L244" s="108"/>
      <c r="M244" s="106"/>
    </row>
    <row r="245" spans="1:20" s="10" customFormat="1" ht="27" hidden="1" customHeight="1" outlineLevel="1" x14ac:dyDescent="0.2">
      <c r="A245" s="48"/>
      <c r="B245" s="77" t="s">
        <v>17</v>
      </c>
      <c r="C245" s="6" t="s">
        <v>117</v>
      </c>
      <c r="D245" s="133" t="s">
        <v>15</v>
      </c>
      <c r="E245" s="35"/>
      <c r="F245" s="32">
        <f>168.15/1000</f>
        <v>0.16814999999999999</v>
      </c>
      <c r="G245" s="105"/>
      <c r="H245" s="106"/>
      <c r="I245" s="109"/>
      <c r="J245" s="108"/>
      <c r="K245" s="108"/>
      <c r="L245" s="108"/>
      <c r="M245" s="106"/>
    </row>
    <row r="246" spans="1:20" s="10" customFormat="1" ht="27" hidden="1" customHeight="1" outlineLevel="1" x14ac:dyDescent="0.2">
      <c r="A246" s="48"/>
      <c r="B246" s="77" t="s">
        <v>17</v>
      </c>
      <c r="C246" s="6" t="s">
        <v>114</v>
      </c>
      <c r="D246" s="133" t="s">
        <v>15</v>
      </c>
      <c r="E246" s="35"/>
      <c r="F246" s="32">
        <f>343.44/1000</f>
        <v>0.34344000000000002</v>
      </c>
      <c r="G246" s="105"/>
      <c r="H246" s="106"/>
      <c r="I246" s="109"/>
      <c r="J246" s="108"/>
      <c r="K246" s="108"/>
      <c r="L246" s="108"/>
      <c r="M246" s="106"/>
    </row>
    <row r="247" spans="1:20" s="10" customFormat="1" ht="18" hidden="1" customHeight="1" outlineLevel="1" x14ac:dyDescent="0.2">
      <c r="A247" s="48"/>
      <c r="B247" s="77" t="s">
        <v>17</v>
      </c>
      <c r="C247" s="6" t="s">
        <v>115</v>
      </c>
      <c r="D247" s="133" t="s">
        <v>15</v>
      </c>
      <c r="E247" s="35"/>
      <c r="F247" s="32">
        <f>21621.6/1000</f>
        <v>21.621599999999997</v>
      </c>
      <c r="G247" s="105"/>
      <c r="H247" s="106"/>
      <c r="I247" s="109"/>
      <c r="J247" s="108"/>
      <c r="K247" s="108"/>
      <c r="L247" s="108"/>
      <c r="M247" s="106"/>
    </row>
    <row r="248" spans="1:20" s="10" customFormat="1" ht="18" hidden="1" customHeight="1" outlineLevel="1" x14ac:dyDescent="0.2">
      <c r="A248" s="48"/>
      <c r="B248" s="77" t="s">
        <v>17</v>
      </c>
      <c r="C248" s="6" t="s">
        <v>116</v>
      </c>
      <c r="D248" s="133" t="s">
        <v>15</v>
      </c>
      <c r="E248" s="35"/>
      <c r="F248" s="32">
        <f>(2951.04+407.05)/1000</f>
        <v>3.3580900000000002</v>
      </c>
      <c r="G248" s="105"/>
      <c r="H248" s="106"/>
      <c r="I248" s="109"/>
      <c r="J248" s="108"/>
      <c r="K248" s="108"/>
      <c r="L248" s="108"/>
      <c r="M248" s="106"/>
    </row>
    <row r="249" spans="1:20" s="10" customFormat="1" ht="18" hidden="1" customHeight="1" outlineLevel="1" x14ac:dyDescent="0.2">
      <c r="A249" s="42"/>
      <c r="B249" s="77" t="s">
        <v>17</v>
      </c>
      <c r="C249" s="6" t="s">
        <v>32</v>
      </c>
      <c r="D249" s="45" t="s">
        <v>15</v>
      </c>
      <c r="E249" s="46"/>
      <c r="F249" s="46">
        <f>162.26/1000</f>
        <v>0.16225999999999999</v>
      </c>
      <c r="G249" s="116"/>
      <c r="H249" s="117"/>
      <c r="I249" s="109"/>
      <c r="J249" s="108"/>
      <c r="K249" s="98"/>
      <c r="L249" s="98"/>
      <c r="M249" s="106"/>
    </row>
    <row r="250" spans="1:20" s="84" customFormat="1" ht="18" hidden="1" customHeight="1" outlineLevel="1" x14ac:dyDescent="0.25">
      <c r="A250" s="13"/>
      <c r="B250" s="77" t="s">
        <v>17</v>
      </c>
      <c r="C250" s="57" t="s">
        <v>73</v>
      </c>
      <c r="D250" s="81" t="s">
        <v>69</v>
      </c>
      <c r="E250" s="82"/>
      <c r="F250" s="79">
        <f>F235*1000*0.5%</f>
        <v>445.4058</v>
      </c>
      <c r="G250" s="111"/>
      <c r="H250" s="112"/>
      <c r="I250" s="112"/>
      <c r="J250" s="112"/>
      <c r="K250" s="112"/>
      <c r="L250" s="112"/>
      <c r="M250" s="98"/>
      <c r="N250" s="83"/>
      <c r="O250" s="83"/>
      <c r="P250" s="83"/>
      <c r="Q250" s="83"/>
      <c r="R250" s="83"/>
      <c r="S250" s="83"/>
      <c r="T250" s="83"/>
    </row>
    <row r="251" spans="1:20" s="97" customFormat="1" ht="18" hidden="1" customHeight="1" outlineLevel="1" x14ac:dyDescent="0.2">
      <c r="A251" s="42"/>
      <c r="B251" s="77"/>
      <c r="C251" s="44" t="s">
        <v>107</v>
      </c>
      <c r="D251" s="78" t="s">
        <v>7</v>
      </c>
      <c r="E251" s="79">
        <v>2.78</v>
      </c>
      <c r="F251" s="79">
        <f>E251*F235</f>
        <v>247.64562479999998</v>
      </c>
      <c r="G251" s="98"/>
      <c r="H251" s="98"/>
      <c r="I251" s="98"/>
      <c r="J251" s="98"/>
      <c r="K251" s="98"/>
      <c r="L251" s="98"/>
      <c r="M251" s="98"/>
    </row>
    <row r="252" spans="1:20" s="10" customFormat="1" ht="15" hidden="1" customHeight="1" outlineLevel="1" x14ac:dyDescent="0.2">
      <c r="A252" s="48"/>
      <c r="B252" s="31"/>
      <c r="C252" s="11"/>
      <c r="D252" s="133"/>
      <c r="E252" s="32"/>
      <c r="F252" s="8"/>
      <c r="G252" s="105"/>
      <c r="H252" s="106"/>
      <c r="I252" s="109"/>
      <c r="J252" s="108"/>
      <c r="K252" s="108"/>
      <c r="L252" s="108"/>
      <c r="M252" s="106"/>
    </row>
    <row r="253" spans="1:20" s="12" customFormat="1" ht="33.75" customHeight="1" collapsed="1" x14ac:dyDescent="0.25">
      <c r="A253" s="42">
        <v>2.2999999999999998</v>
      </c>
      <c r="B253" s="37" t="s">
        <v>129</v>
      </c>
      <c r="C253" s="6" t="s">
        <v>128</v>
      </c>
      <c r="D253" s="45" t="s">
        <v>4</v>
      </c>
      <c r="E253" s="76"/>
      <c r="F253" s="8">
        <v>3850.39</v>
      </c>
      <c r="G253" s="113"/>
      <c r="H253" s="113"/>
      <c r="I253" s="102"/>
      <c r="J253" s="114"/>
      <c r="K253" s="114"/>
      <c r="L253" s="114"/>
      <c r="M253" s="115"/>
    </row>
    <row r="254" spans="1:20" s="10" customFormat="1" ht="21.75" hidden="1" customHeight="1" outlineLevel="1" x14ac:dyDescent="0.2">
      <c r="A254" s="42"/>
      <c r="B254" s="43" t="s">
        <v>25</v>
      </c>
      <c r="C254" s="44" t="s">
        <v>36</v>
      </c>
      <c r="D254" s="45" t="s">
        <v>4</v>
      </c>
      <c r="E254" s="46">
        <v>1</v>
      </c>
      <c r="F254" s="47">
        <f>F253*E254</f>
        <v>3850.39</v>
      </c>
      <c r="G254" s="116"/>
      <c r="H254" s="117"/>
      <c r="I254" s="107"/>
      <c r="J254" s="98"/>
      <c r="K254" s="98"/>
      <c r="L254" s="98"/>
      <c r="M254" s="117"/>
    </row>
    <row r="255" spans="1:20" s="80" customFormat="1" ht="18" hidden="1" customHeight="1" outlineLevel="1" x14ac:dyDescent="0.25">
      <c r="A255" s="76"/>
      <c r="B255" s="77" t="s">
        <v>17</v>
      </c>
      <c r="C255" s="44" t="s">
        <v>55</v>
      </c>
      <c r="D255" s="78" t="s">
        <v>7</v>
      </c>
      <c r="E255" s="128">
        <f>0.16/100</f>
        <v>1.6000000000000001E-3</v>
      </c>
      <c r="F255" s="79">
        <f>E255*F253</f>
        <v>6.1606240000000003</v>
      </c>
      <c r="G255" s="110"/>
      <c r="H255" s="98"/>
      <c r="I255" s="98"/>
      <c r="J255" s="98"/>
      <c r="K255" s="98"/>
      <c r="L255" s="98"/>
      <c r="M255" s="98"/>
    </row>
    <row r="256" spans="1:20" s="10" customFormat="1" ht="19.5" hidden="1" customHeight="1" outlineLevel="1" x14ac:dyDescent="0.2">
      <c r="A256" s="42"/>
      <c r="B256" s="43" t="s">
        <v>17</v>
      </c>
      <c r="C256" s="44" t="s">
        <v>124</v>
      </c>
      <c r="D256" s="45" t="s">
        <v>69</v>
      </c>
      <c r="E256" s="88">
        <v>0.16600000000000001</v>
      </c>
      <c r="F256" s="46">
        <f>E256*F253</f>
        <v>639.16474000000005</v>
      </c>
      <c r="G256" s="116"/>
      <c r="H256" s="117"/>
      <c r="I256" s="120"/>
      <c r="J256" s="98"/>
      <c r="K256" s="98"/>
      <c r="L256" s="98"/>
      <c r="M256" s="117"/>
    </row>
    <row r="257" spans="1:13" s="10" customFormat="1" ht="19.5" hidden="1" customHeight="1" outlineLevel="1" x14ac:dyDescent="0.2">
      <c r="A257" s="42"/>
      <c r="B257" s="43" t="s">
        <v>17</v>
      </c>
      <c r="C257" s="44" t="s">
        <v>130</v>
      </c>
      <c r="D257" s="45" t="s">
        <v>131</v>
      </c>
      <c r="E257" s="88">
        <f>2.4/100</f>
        <v>2.4E-2</v>
      </c>
      <c r="F257" s="46">
        <f>E257*F254</f>
        <v>92.409359999999992</v>
      </c>
      <c r="G257" s="116"/>
      <c r="H257" s="117"/>
      <c r="I257" s="120"/>
      <c r="J257" s="98"/>
      <c r="K257" s="98"/>
      <c r="L257" s="98"/>
      <c r="M257" s="117"/>
    </row>
    <row r="258" spans="1:13" s="84" customFormat="1" ht="18" hidden="1" customHeight="1" outlineLevel="1" x14ac:dyDescent="0.25">
      <c r="A258" s="13"/>
      <c r="B258" s="77"/>
      <c r="C258" s="57"/>
      <c r="D258" s="81"/>
      <c r="E258" s="82"/>
      <c r="F258" s="79"/>
      <c r="G258" s="111"/>
      <c r="H258" s="112"/>
      <c r="I258" s="112"/>
      <c r="J258" s="112"/>
      <c r="K258" s="112"/>
      <c r="L258" s="112"/>
      <c r="M258" s="98"/>
    </row>
    <row r="259" spans="1:13" s="180" customFormat="1" ht="45.75" customHeight="1" collapsed="1" x14ac:dyDescent="0.3">
      <c r="A259" s="173">
        <v>24</v>
      </c>
      <c r="B259" s="181" t="s">
        <v>160</v>
      </c>
      <c r="C259" s="182" t="s">
        <v>159</v>
      </c>
      <c r="D259" s="195" t="s">
        <v>195</v>
      </c>
      <c r="E259" s="177"/>
      <c r="F259" s="8">
        <f>715.6*0.3</f>
        <v>214.68</v>
      </c>
      <c r="G259" s="178"/>
      <c r="H259" s="178"/>
      <c r="I259" s="178"/>
      <c r="J259" s="178"/>
      <c r="K259" s="178"/>
      <c r="L259" s="179"/>
      <c r="M259" s="179"/>
    </row>
    <row r="260" spans="1:13" s="185" customFormat="1" ht="18.75" hidden="1" customHeight="1" outlineLevel="1" x14ac:dyDescent="0.25">
      <c r="A260" s="173"/>
      <c r="B260" s="181"/>
      <c r="C260" s="182" t="s">
        <v>162</v>
      </c>
      <c r="D260" s="183" t="s">
        <v>154</v>
      </c>
      <c r="E260" s="177">
        <f>E265</f>
        <v>41.38</v>
      </c>
      <c r="F260" s="184">
        <f>F259*E260</f>
        <v>8883.4584000000013</v>
      </c>
      <c r="G260" s="178"/>
      <c r="H260" s="178"/>
      <c r="I260" s="178"/>
      <c r="J260" s="178"/>
      <c r="K260" s="178"/>
      <c r="L260" s="178"/>
      <c r="M260" s="179"/>
    </row>
    <row r="261" spans="1:13" s="186" customFormat="1" ht="18.75" hidden="1" customHeight="1" outlineLevel="1" x14ac:dyDescent="0.3">
      <c r="A261" s="173"/>
      <c r="B261" s="181"/>
      <c r="C261" s="182" t="s">
        <v>163</v>
      </c>
      <c r="D261" s="183" t="s">
        <v>150</v>
      </c>
      <c r="E261" s="177">
        <v>0.92</v>
      </c>
      <c r="F261" s="184">
        <f>F259*E261</f>
        <v>197.50560000000002</v>
      </c>
      <c r="G261" s="178"/>
      <c r="H261" s="178"/>
      <c r="I261" s="178"/>
      <c r="J261" s="178"/>
      <c r="K261" s="178"/>
      <c r="L261" s="178"/>
      <c r="M261" s="179"/>
    </row>
    <row r="262" spans="1:13" s="186" customFormat="1" ht="18.75" hidden="1" customHeight="1" outlineLevel="1" x14ac:dyDescent="0.3">
      <c r="A262" s="173"/>
      <c r="B262" s="174" t="s">
        <v>164</v>
      </c>
      <c r="C262" s="175" t="s">
        <v>165</v>
      </c>
      <c r="D262" s="187" t="s">
        <v>161</v>
      </c>
      <c r="E262" s="177">
        <v>0.11</v>
      </c>
      <c r="F262" s="184">
        <f>F259*E262</f>
        <v>23.614800000000002</v>
      </c>
      <c r="G262" s="178"/>
      <c r="H262" s="178"/>
      <c r="I262" s="178"/>
      <c r="J262" s="178"/>
      <c r="K262" s="178"/>
      <c r="L262" s="178"/>
      <c r="M262" s="179"/>
    </row>
    <row r="263" spans="1:13" s="185" customFormat="1" ht="18.75" hidden="1" customHeight="1" outlineLevel="1" x14ac:dyDescent="0.25">
      <c r="A263" s="173"/>
      <c r="B263" s="188" t="e">
        <f>#REF!</f>
        <v>#REF!</v>
      </c>
      <c r="C263" s="182" t="s">
        <v>166</v>
      </c>
      <c r="D263" s="189" t="s">
        <v>167</v>
      </c>
      <c r="E263" s="177">
        <v>1.21</v>
      </c>
      <c r="F263" s="184">
        <f>F262*E263</f>
        <v>28.573908000000003</v>
      </c>
      <c r="G263" s="178"/>
      <c r="H263" s="178"/>
      <c r="I263" s="178"/>
      <c r="J263" s="178"/>
      <c r="K263" s="178"/>
      <c r="L263" s="178"/>
      <c r="M263" s="179"/>
    </row>
    <row r="264" spans="1:13" s="185" customFormat="1" ht="18.75" hidden="1" customHeight="1" outlineLevel="1" x14ac:dyDescent="0.25">
      <c r="A264" s="173"/>
      <c r="B264" s="188">
        <f>B252</f>
        <v>0</v>
      </c>
      <c r="C264" s="182" t="s">
        <v>168</v>
      </c>
      <c r="D264" s="189" t="s">
        <v>169</v>
      </c>
      <c r="E264" s="177">
        <v>0.31900000000000001</v>
      </c>
      <c r="F264" s="184">
        <f>F262*E264</f>
        <v>7.533121200000001</v>
      </c>
      <c r="G264" s="178"/>
      <c r="H264" s="178"/>
      <c r="I264" s="178"/>
      <c r="J264" s="178"/>
      <c r="K264" s="178"/>
      <c r="L264" s="178"/>
      <c r="M264" s="179"/>
    </row>
    <row r="265" spans="1:13" s="186" customFormat="1" ht="18.75" hidden="1" customHeight="1" outlineLevel="1" x14ac:dyDescent="0.3">
      <c r="A265" s="173"/>
      <c r="B265" s="188" t="str">
        <f t="shared" ref="B265:B266" si="0">B253</f>
        <v>13-18-4</v>
      </c>
      <c r="C265" s="182" t="s">
        <v>170</v>
      </c>
      <c r="D265" s="183" t="s">
        <v>154</v>
      </c>
      <c r="E265" s="177">
        <v>41.38</v>
      </c>
      <c r="F265" s="184">
        <f>E265*F259</f>
        <v>8883.4584000000013</v>
      </c>
      <c r="G265" s="178"/>
      <c r="H265" s="178"/>
      <c r="I265" s="178"/>
      <c r="J265" s="178"/>
      <c r="K265" s="178"/>
      <c r="L265" s="178"/>
      <c r="M265" s="179"/>
    </row>
    <row r="266" spans="1:13" s="186" customFormat="1" ht="18.75" hidden="1" customHeight="1" outlineLevel="1" x14ac:dyDescent="0.3">
      <c r="A266" s="173"/>
      <c r="B266" s="188" t="str">
        <f t="shared" si="0"/>
        <v>საბაზრო</v>
      </c>
      <c r="C266" s="182" t="s">
        <v>171</v>
      </c>
      <c r="D266" s="183" t="s">
        <v>169</v>
      </c>
      <c r="E266" s="177">
        <f>12/(7.2*3.6*0.3)*0.39/1000</f>
        <v>6.018518518518519E-4</v>
      </c>
      <c r="F266" s="184">
        <f>E266*F259</f>
        <v>0.12920555555555557</v>
      </c>
      <c r="G266" s="178"/>
      <c r="H266" s="178"/>
      <c r="I266" s="178"/>
      <c r="J266" s="178"/>
      <c r="K266" s="178"/>
      <c r="L266" s="178"/>
      <c r="M266" s="179"/>
    </row>
    <row r="267" spans="1:13" s="190" customFormat="1" ht="18.75" hidden="1" customHeight="1" outlineLevel="1" x14ac:dyDescent="0.3">
      <c r="A267" s="173"/>
      <c r="B267" s="181"/>
      <c r="C267" s="182" t="s">
        <v>172</v>
      </c>
      <c r="D267" s="183" t="s">
        <v>150</v>
      </c>
      <c r="E267" s="177">
        <v>0.16</v>
      </c>
      <c r="F267" s="184">
        <f>F259*E267</f>
        <v>34.348800000000004</v>
      </c>
      <c r="G267" s="178"/>
      <c r="H267" s="178"/>
      <c r="I267" s="178"/>
      <c r="J267" s="178"/>
      <c r="K267" s="178"/>
      <c r="L267" s="179"/>
      <c r="M267" s="179"/>
    </row>
    <row r="268" spans="1:13" s="84" customFormat="1" ht="18" hidden="1" customHeight="1" outlineLevel="1" x14ac:dyDescent="0.25">
      <c r="A268" s="13"/>
      <c r="B268" s="77"/>
      <c r="C268" s="57"/>
      <c r="D268" s="81"/>
      <c r="E268" s="82"/>
      <c r="F268" s="79"/>
      <c r="G268" s="111"/>
      <c r="H268" s="112"/>
      <c r="I268" s="112"/>
      <c r="J268" s="112"/>
      <c r="K268" s="112"/>
      <c r="L268" s="112"/>
      <c r="M268" s="98"/>
    </row>
    <row r="269" spans="1:13" s="12" customFormat="1" ht="24.75" customHeight="1" collapsed="1" x14ac:dyDescent="0.25">
      <c r="A269" s="42">
        <v>2.6</v>
      </c>
      <c r="B269" s="37"/>
      <c r="C269" s="6" t="s">
        <v>125</v>
      </c>
      <c r="D269" s="45" t="s">
        <v>4</v>
      </c>
      <c r="E269" s="76"/>
      <c r="F269" s="8">
        <v>715.6</v>
      </c>
      <c r="G269" s="113"/>
      <c r="H269" s="113"/>
      <c r="I269" s="102"/>
      <c r="J269" s="114"/>
      <c r="K269" s="114"/>
      <c r="L269" s="114"/>
      <c r="M269" s="115"/>
    </row>
    <row r="270" spans="1:13" s="10" customFormat="1" ht="18.75" hidden="1" customHeight="1" outlineLevel="1" x14ac:dyDescent="0.2">
      <c r="A270" s="42"/>
      <c r="B270" s="43" t="s">
        <v>17</v>
      </c>
      <c r="C270" s="44" t="s">
        <v>36</v>
      </c>
      <c r="D270" s="45" t="s">
        <v>4</v>
      </c>
      <c r="E270" s="46">
        <v>1</v>
      </c>
      <c r="F270" s="47">
        <f>F269*E270</f>
        <v>715.6</v>
      </c>
      <c r="G270" s="116"/>
      <c r="H270" s="117"/>
      <c r="I270" s="107"/>
      <c r="J270" s="98"/>
      <c r="K270" s="98"/>
      <c r="L270" s="98"/>
      <c r="M270" s="117"/>
    </row>
    <row r="271" spans="1:13" s="80" customFormat="1" ht="18.75" hidden="1" customHeight="1" outlineLevel="1" x14ac:dyDescent="0.25">
      <c r="A271" s="76"/>
      <c r="B271" s="43" t="s">
        <v>17</v>
      </c>
      <c r="C271" s="44" t="s">
        <v>100</v>
      </c>
      <c r="D271" s="42" t="s">
        <v>54</v>
      </c>
      <c r="E271" s="79">
        <f>(5.12+4.37+2+0.75)/100</f>
        <v>0.12240000000000001</v>
      </c>
      <c r="F271" s="79">
        <f>E271*F269</f>
        <v>87.58944000000001</v>
      </c>
      <c r="G271" s="110"/>
      <c r="H271" s="98"/>
      <c r="I271" s="98"/>
      <c r="J271" s="98"/>
      <c r="K271" s="98"/>
      <c r="L271" s="98"/>
      <c r="M271" s="98"/>
    </row>
    <row r="272" spans="1:13" s="10" customFormat="1" ht="18.75" hidden="1" customHeight="1" outlineLevel="1" x14ac:dyDescent="0.2">
      <c r="A272" s="42"/>
      <c r="B272" s="43" t="s">
        <v>17</v>
      </c>
      <c r="C272" s="44" t="s">
        <v>55</v>
      </c>
      <c r="D272" s="78" t="s">
        <v>7</v>
      </c>
      <c r="E272" s="128">
        <v>0.97799999999999998</v>
      </c>
      <c r="F272" s="79">
        <f>E272*F269</f>
        <v>699.85680000000002</v>
      </c>
      <c r="G272" s="110"/>
      <c r="H272" s="98"/>
      <c r="I272" s="98"/>
      <c r="J272" s="98"/>
      <c r="K272" s="98"/>
      <c r="L272" s="98"/>
      <c r="M272" s="98"/>
    </row>
    <row r="273" spans="1:37" s="10" customFormat="1" ht="18.75" hidden="1" customHeight="1" outlineLevel="1" x14ac:dyDescent="0.2">
      <c r="A273" s="42"/>
      <c r="B273" s="43" t="s">
        <v>17</v>
      </c>
      <c r="C273" s="44" t="s">
        <v>126</v>
      </c>
      <c r="D273" s="45" t="s">
        <v>4</v>
      </c>
      <c r="E273" s="88">
        <v>1</v>
      </c>
      <c r="F273" s="46">
        <f>E273*F269</f>
        <v>715.6</v>
      </c>
      <c r="G273" s="116"/>
      <c r="H273" s="117"/>
      <c r="I273" s="120"/>
      <c r="J273" s="98"/>
      <c r="K273" s="98"/>
      <c r="L273" s="98"/>
      <c r="M273" s="117"/>
    </row>
    <row r="274" spans="1:37" s="97" customFormat="1" ht="18.75" hidden="1" customHeight="1" outlineLevel="1" x14ac:dyDescent="0.2">
      <c r="A274" s="42"/>
      <c r="B274" s="43" t="s">
        <v>17</v>
      </c>
      <c r="C274" s="44" t="s">
        <v>107</v>
      </c>
      <c r="D274" s="78" t="s">
        <v>7</v>
      </c>
      <c r="E274" s="79">
        <f>5.56/100</f>
        <v>5.5599999999999997E-2</v>
      </c>
      <c r="F274" s="79">
        <f>E274*F269</f>
        <v>39.78736</v>
      </c>
      <c r="G274" s="98"/>
      <c r="H274" s="98"/>
      <c r="I274" s="98"/>
      <c r="J274" s="98"/>
      <c r="K274" s="98"/>
      <c r="L274" s="98"/>
      <c r="M274" s="98"/>
    </row>
    <row r="275" spans="1:37" s="84" customFormat="1" ht="18" hidden="1" customHeight="1" outlineLevel="1" x14ac:dyDescent="0.25">
      <c r="A275" s="13"/>
      <c r="B275" s="77"/>
      <c r="C275" s="57"/>
      <c r="D275" s="81"/>
      <c r="E275" s="82"/>
      <c r="F275" s="79"/>
      <c r="G275" s="111"/>
      <c r="H275" s="112"/>
      <c r="I275" s="112"/>
      <c r="J275" s="112"/>
      <c r="K275" s="112"/>
      <c r="L275" s="112"/>
      <c r="M275" s="98"/>
    </row>
    <row r="276" spans="1:37" s="12" customFormat="1" ht="40.5" customHeight="1" collapsed="1" x14ac:dyDescent="0.25">
      <c r="A276" s="42">
        <v>2.7</v>
      </c>
      <c r="B276" s="37"/>
      <c r="C276" s="6" t="s">
        <v>196</v>
      </c>
      <c r="D276" s="45" t="s">
        <v>4</v>
      </c>
      <c r="E276" s="76"/>
      <c r="F276" s="8">
        <v>4086.3</v>
      </c>
      <c r="G276" s="113"/>
      <c r="H276" s="113"/>
      <c r="I276" s="102"/>
      <c r="J276" s="114"/>
      <c r="K276" s="114"/>
      <c r="L276" s="114"/>
      <c r="M276" s="115"/>
    </row>
    <row r="277" spans="1:37" s="10" customFormat="1" ht="18.75" hidden="1" customHeight="1" outlineLevel="1" x14ac:dyDescent="0.2">
      <c r="A277" s="42"/>
      <c r="B277" s="43" t="s">
        <v>17</v>
      </c>
      <c r="C277" s="44" t="s">
        <v>36</v>
      </c>
      <c r="D277" s="45" t="s">
        <v>4</v>
      </c>
      <c r="E277" s="46">
        <v>1</v>
      </c>
      <c r="F277" s="47">
        <f>F276*E277</f>
        <v>4086.3</v>
      </c>
      <c r="G277" s="116"/>
      <c r="H277" s="117"/>
      <c r="I277" s="107"/>
      <c r="J277" s="98"/>
      <c r="K277" s="98"/>
      <c r="L277" s="98"/>
      <c r="M277" s="117"/>
    </row>
    <row r="278" spans="1:37" s="80" customFormat="1" ht="18.75" hidden="1" customHeight="1" outlineLevel="1" x14ac:dyDescent="0.25">
      <c r="A278" s="76"/>
      <c r="B278" s="43" t="s">
        <v>17</v>
      </c>
      <c r="C278" s="44" t="s">
        <v>100</v>
      </c>
      <c r="D278" s="42" t="s">
        <v>54</v>
      </c>
      <c r="E278" s="79">
        <f>(2.12+0.6+1.38)/100</f>
        <v>4.0999999999999995E-2</v>
      </c>
      <c r="F278" s="79">
        <f>E278*F276</f>
        <v>167.53829999999999</v>
      </c>
      <c r="G278" s="110"/>
      <c r="H278" s="98"/>
      <c r="I278" s="98"/>
      <c r="J278" s="98"/>
      <c r="K278" s="98"/>
      <c r="L278" s="98"/>
      <c r="M278" s="98"/>
    </row>
    <row r="279" spans="1:37" s="10" customFormat="1" ht="18.75" hidden="1" customHeight="1" outlineLevel="1" x14ac:dyDescent="0.2">
      <c r="A279" s="42"/>
      <c r="B279" s="43" t="s">
        <v>17</v>
      </c>
      <c r="C279" s="44" t="s">
        <v>55</v>
      </c>
      <c r="D279" s="78" t="s">
        <v>7</v>
      </c>
      <c r="E279" s="79">
        <v>4.67</v>
      </c>
      <c r="F279" s="132">
        <f>E279*F276</f>
        <v>19083.021000000001</v>
      </c>
      <c r="G279" s="110"/>
      <c r="H279" s="98"/>
      <c r="I279" s="98"/>
      <c r="J279" s="98"/>
      <c r="K279" s="98"/>
      <c r="L279" s="98"/>
      <c r="M279" s="98"/>
    </row>
    <row r="280" spans="1:37" s="10" customFormat="1" ht="18.75" hidden="1" customHeight="1" outlineLevel="1" x14ac:dyDescent="0.2">
      <c r="A280" s="42"/>
      <c r="B280" s="43" t="s">
        <v>17</v>
      </c>
      <c r="C280" s="44" t="s">
        <v>126</v>
      </c>
      <c r="D280" s="45" t="s">
        <v>4</v>
      </c>
      <c r="E280" s="88">
        <v>1</v>
      </c>
      <c r="F280" s="46">
        <f>E280*F276</f>
        <v>4086.3</v>
      </c>
      <c r="G280" s="116"/>
      <c r="H280" s="117"/>
      <c r="I280" s="120"/>
      <c r="J280" s="98"/>
      <c r="K280" s="98"/>
      <c r="L280" s="98"/>
      <c r="M280" s="117"/>
    </row>
    <row r="281" spans="1:37" s="97" customFormat="1" ht="18.75" hidden="1" customHeight="1" outlineLevel="1" x14ac:dyDescent="0.2">
      <c r="A281" s="42"/>
      <c r="B281" s="43" t="s">
        <v>17</v>
      </c>
      <c r="C281" s="44" t="s">
        <v>107</v>
      </c>
      <c r="D281" s="78" t="s">
        <v>7</v>
      </c>
      <c r="E281" s="79">
        <f>4.67/100</f>
        <v>4.6699999999999998E-2</v>
      </c>
      <c r="F281" s="79">
        <f>E281*F276</f>
        <v>190.83020999999999</v>
      </c>
      <c r="G281" s="98"/>
      <c r="H281" s="98"/>
      <c r="I281" s="98"/>
      <c r="J281" s="98"/>
      <c r="K281" s="98"/>
      <c r="L281" s="98"/>
      <c r="M281" s="98"/>
    </row>
    <row r="282" spans="1:37" s="84" customFormat="1" ht="18" hidden="1" customHeight="1" outlineLevel="1" x14ac:dyDescent="0.25">
      <c r="A282" s="13"/>
      <c r="B282" s="77"/>
      <c r="C282" s="57"/>
      <c r="D282" s="81"/>
      <c r="E282" s="82"/>
      <c r="F282" s="79"/>
      <c r="G282" s="111"/>
      <c r="H282" s="112"/>
      <c r="I282" s="112"/>
      <c r="J282" s="112"/>
      <c r="K282" s="112"/>
      <c r="L282" s="112"/>
      <c r="M282" s="98"/>
    </row>
    <row r="283" spans="1:37" s="146" customFormat="1" ht="45.75" customHeight="1" collapsed="1" x14ac:dyDescent="0.2">
      <c r="A283" s="140">
        <v>2.8</v>
      </c>
      <c r="B283" s="141" t="s">
        <v>144</v>
      </c>
      <c r="C283" s="6" t="s">
        <v>197</v>
      </c>
      <c r="D283" s="196" t="s">
        <v>145</v>
      </c>
      <c r="E283" s="147"/>
      <c r="F283" s="197">
        <f>705/100</f>
        <v>7.05</v>
      </c>
      <c r="G283" s="145"/>
      <c r="H283" s="145"/>
      <c r="I283" s="145"/>
      <c r="J283" s="145"/>
      <c r="K283" s="145"/>
      <c r="L283" s="145"/>
      <c r="M283" s="145"/>
    </row>
    <row r="284" spans="1:37" s="156" customFormat="1" ht="20.25" hidden="1" customHeight="1" outlineLevel="1" x14ac:dyDescent="0.25">
      <c r="A284" s="149"/>
      <c r="B284" s="150"/>
      <c r="C284" s="44" t="s">
        <v>36</v>
      </c>
      <c r="D284" s="152" t="s">
        <v>4</v>
      </c>
      <c r="E284" s="147">
        <v>100</v>
      </c>
      <c r="F284" s="153">
        <f>E284*F283</f>
        <v>705</v>
      </c>
      <c r="G284" s="154"/>
      <c r="H284" s="148"/>
      <c r="I284" s="148"/>
      <c r="J284" s="148"/>
      <c r="K284" s="148"/>
      <c r="L284" s="148"/>
      <c r="M284" s="155"/>
    </row>
    <row r="285" spans="1:37" s="160" customFormat="1" ht="16.5" hidden="1" customHeight="1" outlineLevel="1" x14ac:dyDescent="0.25">
      <c r="A285" s="157"/>
      <c r="B285" s="158"/>
      <c r="C285" s="44" t="s">
        <v>100</v>
      </c>
      <c r="D285" s="152" t="s">
        <v>148</v>
      </c>
      <c r="E285" s="147">
        <v>0.28999999999999998</v>
      </c>
      <c r="F285" s="147">
        <f>E285*F283</f>
        <v>2.0444999999999998</v>
      </c>
      <c r="G285" s="159"/>
      <c r="H285" s="148"/>
      <c r="I285" s="148"/>
      <c r="J285" s="148"/>
      <c r="K285" s="148"/>
      <c r="L285" s="148"/>
      <c r="M285" s="148"/>
    </row>
    <row r="286" spans="1:37" s="160" customFormat="1" ht="16.5" hidden="1" customHeight="1" outlineLevel="1" x14ac:dyDescent="0.25">
      <c r="A286" s="157"/>
      <c r="B286" s="158"/>
      <c r="C286" s="151" t="s">
        <v>156</v>
      </c>
      <c r="D286" s="152" t="s">
        <v>150</v>
      </c>
      <c r="E286" s="147">
        <v>2.41</v>
      </c>
      <c r="F286" s="147">
        <f>E286*F283</f>
        <v>16.990500000000001</v>
      </c>
      <c r="G286" s="159"/>
      <c r="H286" s="148"/>
      <c r="I286" s="148"/>
      <c r="J286" s="148"/>
      <c r="K286" s="148"/>
      <c r="L286" s="148"/>
      <c r="M286" s="148"/>
    </row>
    <row r="287" spans="1:37" s="168" customFormat="1" ht="29.25" hidden="1" customHeight="1" outlineLevel="1" x14ac:dyDescent="0.25">
      <c r="A287" s="161"/>
      <c r="B287" s="158"/>
      <c r="C287" s="162" t="s">
        <v>157</v>
      </c>
      <c r="D287" s="163" t="s">
        <v>152</v>
      </c>
      <c r="E287" s="164">
        <f>112/105*100</f>
        <v>106.66666666666667</v>
      </c>
      <c r="F287" s="147">
        <f>E287*F283</f>
        <v>752</v>
      </c>
      <c r="G287" s="165"/>
      <c r="H287" s="166"/>
      <c r="I287" s="166"/>
      <c r="J287" s="166"/>
      <c r="K287" s="166"/>
      <c r="L287" s="166"/>
      <c r="M287" s="148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</row>
    <row r="288" spans="1:37" s="169" customFormat="1" ht="18.75" hidden="1" customHeight="1" outlineLevel="1" x14ac:dyDescent="0.25">
      <c r="A288" s="140"/>
      <c r="B288" s="158"/>
      <c r="C288" s="151" t="s">
        <v>158</v>
      </c>
      <c r="D288" s="152" t="s">
        <v>154</v>
      </c>
      <c r="E288" s="147">
        <v>645</v>
      </c>
      <c r="F288" s="147">
        <f>E288*F283</f>
        <v>4547.25</v>
      </c>
      <c r="G288" s="148"/>
      <c r="H288" s="148"/>
      <c r="I288" s="148"/>
      <c r="J288" s="148"/>
      <c r="K288" s="148"/>
      <c r="L288" s="148"/>
      <c r="M288" s="148"/>
    </row>
    <row r="289" spans="1:13" s="172" customFormat="1" ht="16.5" hidden="1" customHeight="1" outlineLevel="1" x14ac:dyDescent="0.25">
      <c r="A289" s="170"/>
      <c r="B289" s="163"/>
      <c r="C289" s="163"/>
      <c r="D289" s="163"/>
      <c r="E289" s="171"/>
      <c r="F289" s="171"/>
      <c r="G289" s="166"/>
      <c r="H289" s="166"/>
      <c r="I289" s="166"/>
      <c r="J289" s="166"/>
      <c r="K289" s="166"/>
      <c r="L289" s="166"/>
      <c r="M289" s="166"/>
    </row>
    <row r="290" spans="1:13" s="12" customFormat="1" ht="27.75" customHeight="1" collapsed="1" x14ac:dyDescent="0.25">
      <c r="A290" s="42">
        <v>2.9</v>
      </c>
      <c r="B290" s="37" t="s">
        <v>132</v>
      </c>
      <c r="C290" s="6" t="s">
        <v>201</v>
      </c>
      <c r="D290" s="45" t="s">
        <v>4</v>
      </c>
      <c r="E290" s="76"/>
      <c r="F290" s="32">
        <f>F294+F295</f>
        <v>418.39</v>
      </c>
      <c r="G290" s="113"/>
      <c r="H290" s="113"/>
      <c r="I290" s="102"/>
      <c r="J290" s="114"/>
      <c r="K290" s="114"/>
      <c r="L290" s="114"/>
      <c r="M290" s="115"/>
    </row>
    <row r="291" spans="1:13" s="10" customFormat="1" ht="18.75" hidden="1" customHeight="1" outlineLevel="1" x14ac:dyDescent="0.2">
      <c r="A291" s="42"/>
      <c r="B291" s="43"/>
      <c r="C291" s="44" t="s">
        <v>36</v>
      </c>
      <c r="D291" s="45" t="s">
        <v>4</v>
      </c>
      <c r="E291" s="46">
        <v>1</v>
      </c>
      <c r="F291" s="47">
        <f>F290*E291</f>
        <v>418.39</v>
      </c>
      <c r="G291" s="116"/>
      <c r="H291" s="117"/>
      <c r="I291" s="107"/>
      <c r="J291" s="98"/>
      <c r="K291" s="98"/>
      <c r="L291" s="98"/>
      <c r="M291" s="117"/>
    </row>
    <row r="292" spans="1:13" s="80" customFormat="1" ht="18.75" hidden="1" customHeight="1" outlineLevel="1" x14ac:dyDescent="0.25">
      <c r="A292" s="76"/>
      <c r="B292" s="43"/>
      <c r="C292" s="44" t="s">
        <v>100</v>
      </c>
      <c r="D292" s="42" t="s">
        <v>54</v>
      </c>
      <c r="E292" s="79">
        <f>15.1/100</f>
        <v>0.151</v>
      </c>
      <c r="F292" s="79">
        <f>E292*F290</f>
        <v>63.176889999999993</v>
      </c>
      <c r="G292" s="110"/>
      <c r="H292" s="98"/>
      <c r="I292" s="98"/>
      <c r="J292" s="98"/>
      <c r="K292" s="98"/>
      <c r="L292" s="98"/>
      <c r="M292" s="98"/>
    </row>
    <row r="293" spans="1:13" s="10" customFormat="1" ht="18.75" hidden="1" customHeight="1" outlineLevel="1" x14ac:dyDescent="0.2">
      <c r="A293" s="42"/>
      <c r="B293" s="43"/>
      <c r="C293" s="44" t="s">
        <v>55</v>
      </c>
      <c r="D293" s="78" t="s">
        <v>7</v>
      </c>
      <c r="E293" s="79">
        <f>51.8/100</f>
        <v>0.51800000000000002</v>
      </c>
      <c r="F293" s="79">
        <f>E293*F290</f>
        <v>216.72602000000001</v>
      </c>
      <c r="G293" s="110"/>
      <c r="H293" s="98"/>
      <c r="I293" s="98"/>
      <c r="J293" s="98"/>
      <c r="K293" s="98"/>
      <c r="L293" s="98"/>
      <c r="M293" s="98"/>
    </row>
    <row r="294" spans="1:13" s="10" customFormat="1" ht="18.75" hidden="1" customHeight="1" outlineLevel="1" x14ac:dyDescent="0.2">
      <c r="A294" s="42"/>
      <c r="B294" s="43"/>
      <c r="C294" s="44" t="s">
        <v>205</v>
      </c>
      <c r="D294" s="45" t="s">
        <v>4</v>
      </c>
      <c r="E294" s="88">
        <v>1</v>
      </c>
      <c r="F294" s="46">
        <f>5.1+2.5*5.5+2.8*1.8*2+3.2*6.5*2-15.07</f>
        <v>55.46</v>
      </c>
      <c r="G294" s="116"/>
      <c r="H294" s="117"/>
      <c r="I294" s="120"/>
      <c r="J294" s="98"/>
      <c r="K294" s="98"/>
      <c r="L294" s="98"/>
      <c r="M294" s="117"/>
    </row>
    <row r="295" spans="1:13" s="10" customFormat="1" ht="18.75" hidden="1" customHeight="1" outlineLevel="1" x14ac:dyDescent="0.2">
      <c r="A295" s="42"/>
      <c r="B295" s="43"/>
      <c r="C295" s="44" t="s">
        <v>206</v>
      </c>
      <c r="D295" s="45" t="s">
        <v>4</v>
      </c>
      <c r="E295" s="88">
        <v>1</v>
      </c>
      <c r="F295" s="46">
        <v>362.93</v>
      </c>
      <c r="G295" s="116"/>
      <c r="H295" s="117"/>
      <c r="I295" s="120"/>
      <c r="J295" s="98"/>
      <c r="K295" s="98"/>
      <c r="L295" s="98"/>
      <c r="M295" s="117"/>
    </row>
    <row r="296" spans="1:13" s="97" customFormat="1" ht="18.75" hidden="1" customHeight="1" outlineLevel="1" x14ac:dyDescent="0.2">
      <c r="A296" s="42"/>
      <c r="B296" s="43"/>
      <c r="C296" s="44" t="s">
        <v>107</v>
      </c>
      <c r="D296" s="78" t="s">
        <v>7</v>
      </c>
      <c r="E296" s="79">
        <f>5.4/100</f>
        <v>5.4000000000000006E-2</v>
      </c>
      <c r="F296" s="79">
        <f>E296*F290</f>
        <v>22.593060000000001</v>
      </c>
      <c r="G296" s="98"/>
      <c r="H296" s="98"/>
      <c r="I296" s="98"/>
      <c r="J296" s="98"/>
      <c r="K296" s="98"/>
      <c r="L296" s="98"/>
      <c r="M296" s="98"/>
    </row>
    <row r="297" spans="1:13" s="84" customFormat="1" ht="18" hidden="1" customHeight="1" outlineLevel="1" x14ac:dyDescent="0.25">
      <c r="A297" s="13"/>
      <c r="B297" s="77"/>
      <c r="C297" s="57"/>
      <c r="D297" s="81"/>
      <c r="E297" s="82"/>
      <c r="F297" s="79"/>
      <c r="G297" s="111"/>
      <c r="H297" s="112"/>
      <c r="I297" s="112"/>
      <c r="J297" s="112"/>
      <c r="K297" s="112"/>
      <c r="L297" s="112"/>
      <c r="M297" s="98"/>
    </row>
    <row r="298" spans="1:13" s="12" customFormat="1" ht="27.75" customHeight="1" collapsed="1" x14ac:dyDescent="0.25">
      <c r="A298" s="42">
        <v>2.9</v>
      </c>
      <c r="B298" s="37" t="s">
        <v>132</v>
      </c>
      <c r="C298" s="6" t="s">
        <v>202</v>
      </c>
      <c r="D298" s="45" t="s">
        <v>4</v>
      </c>
      <c r="E298" s="76"/>
      <c r="F298" s="32">
        <v>99.16</v>
      </c>
      <c r="G298" s="113"/>
      <c r="H298" s="113"/>
      <c r="I298" s="102"/>
      <c r="J298" s="114"/>
      <c r="K298" s="114"/>
      <c r="L298" s="114"/>
      <c r="M298" s="115"/>
    </row>
    <row r="299" spans="1:13" s="10" customFormat="1" ht="18.75" hidden="1" customHeight="1" outlineLevel="1" x14ac:dyDescent="0.2">
      <c r="A299" s="42"/>
      <c r="B299" s="43"/>
      <c r="C299" s="44" t="s">
        <v>36</v>
      </c>
      <c r="D299" s="45" t="s">
        <v>4</v>
      </c>
      <c r="E299" s="46">
        <v>1</v>
      </c>
      <c r="F299" s="47">
        <f>F298*E299</f>
        <v>99.16</v>
      </c>
      <c r="G299" s="116"/>
      <c r="H299" s="117"/>
      <c r="I299" s="107"/>
      <c r="J299" s="98"/>
      <c r="K299" s="98"/>
      <c r="L299" s="98"/>
      <c r="M299" s="117"/>
    </row>
    <row r="300" spans="1:13" s="80" customFormat="1" ht="18.75" hidden="1" customHeight="1" outlineLevel="1" x14ac:dyDescent="0.25">
      <c r="A300" s="76"/>
      <c r="B300" s="43"/>
      <c r="C300" s="44" t="s">
        <v>100</v>
      </c>
      <c r="D300" s="42" t="s">
        <v>54</v>
      </c>
      <c r="E300" s="79">
        <f>15.1/100</f>
        <v>0.151</v>
      </c>
      <c r="F300" s="79">
        <f>E300*F298</f>
        <v>14.973159999999998</v>
      </c>
      <c r="G300" s="110"/>
      <c r="H300" s="98"/>
      <c r="I300" s="98"/>
      <c r="J300" s="98"/>
      <c r="K300" s="98"/>
      <c r="L300" s="98"/>
      <c r="M300" s="98"/>
    </row>
    <row r="301" spans="1:13" s="10" customFormat="1" ht="18.75" hidden="1" customHeight="1" outlineLevel="1" x14ac:dyDescent="0.2">
      <c r="A301" s="42"/>
      <c r="B301" s="43"/>
      <c r="C301" s="44" t="s">
        <v>55</v>
      </c>
      <c r="D301" s="78" t="s">
        <v>7</v>
      </c>
      <c r="E301" s="79">
        <f>51.8/100</f>
        <v>0.51800000000000002</v>
      </c>
      <c r="F301" s="79">
        <f>E301*F298</f>
        <v>51.364879999999999</v>
      </c>
      <c r="G301" s="110"/>
      <c r="H301" s="98"/>
      <c r="I301" s="98"/>
      <c r="J301" s="98"/>
      <c r="K301" s="98"/>
      <c r="L301" s="98"/>
      <c r="M301" s="98"/>
    </row>
    <row r="302" spans="1:13" s="10" customFormat="1" ht="18.75" hidden="1" customHeight="1" outlineLevel="1" x14ac:dyDescent="0.2">
      <c r="A302" s="42"/>
      <c r="B302" s="43"/>
      <c r="C302" s="44" t="s">
        <v>203</v>
      </c>
      <c r="D302" s="45" t="s">
        <v>4</v>
      </c>
      <c r="E302" s="88">
        <v>1</v>
      </c>
      <c r="F302" s="46">
        <v>15.07</v>
      </c>
      <c r="G302" s="116"/>
      <c r="H302" s="117"/>
      <c r="I302" s="120"/>
      <c r="J302" s="98"/>
      <c r="K302" s="98"/>
      <c r="L302" s="98"/>
      <c r="M302" s="117"/>
    </row>
    <row r="303" spans="1:13" s="10" customFormat="1" ht="18.75" hidden="1" customHeight="1" outlineLevel="1" x14ac:dyDescent="0.2">
      <c r="A303" s="42"/>
      <c r="B303" s="43"/>
      <c r="C303" s="44" t="s">
        <v>204</v>
      </c>
      <c r="D303" s="45" t="s">
        <v>4</v>
      </c>
      <c r="E303" s="88">
        <v>1</v>
      </c>
      <c r="F303" s="46">
        <f>F298-F302</f>
        <v>84.09</v>
      </c>
      <c r="G303" s="116"/>
      <c r="H303" s="117"/>
      <c r="I303" s="120"/>
      <c r="J303" s="98"/>
      <c r="K303" s="98"/>
      <c r="L303" s="98"/>
      <c r="M303" s="117"/>
    </row>
    <row r="304" spans="1:13" s="97" customFormat="1" ht="18.75" hidden="1" customHeight="1" outlineLevel="1" x14ac:dyDescent="0.2">
      <c r="A304" s="42"/>
      <c r="B304" s="43"/>
      <c r="C304" s="44" t="s">
        <v>107</v>
      </c>
      <c r="D304" s="78" t="s">
        <v>7</v>
      </c>
      <c r="E304" s="79">
        <f>5.4/100</f>
        <v>5.4000000000000006E-2</v>
      </c>
      <c r="F304" s="79">
        <f>E304*F298</f>
        <v>5.3546400000000007</v>
      </c>
      <c r="G304" s="98"/>
      <c r="H304" s="98"/>
      <c r="I304" s="98"/>
      <c r="J304" s="98"/>
      <c r="K304" s="98"/>
      <c r="L304" s="98"/>
      <c r="M304" s="98"/>
    </row>
    <row r="305" spans="1:13" s="84" customFormat="1" ht="18" hidden="1" customHeight="1" outlineLevel="1" x14ac:dyDescent="0.25">
      <c r="A305" s="13"/>
      <c r="B305" s="77"/>
      <c r="C305" s="57"/>
      <c r="D305" s="81"/>
      <c r="E305" s="82"/>
      <c r="F305" s="79"/>
      <c r="G305" s="111"/>
      <c r="H305" s="112"/>
      <c r="I305" s="112"/>
      <c r="J305" s="112"/>
      <c r="K305" s="112"/>
      <c r="L305" s="112"/>
      <c r="M305" s="98"/>
    </row>
    <row r="306" spans="1:13" s="14" customFormat="1" ht="18" customHeight="1" collapsed="1" x14ac:dyDescent="0.25">
      <c r="A306" s="13"/>
      <c r="B306" s="52"/>
      <c r="C306" s="5" t="s">
        <v>9</v>
      </c>
      <c r="D306" s="5" t="s">
        <v>7</v>
      </c>
      <c r="E306" s="53"/>
      <c r="F306" s="54"/>
      <c r="G306" s="123"/>
      <c r="H306" s="198">
        <f>SUM(H16:H297)</f>
        <v>0</v>
      </c>
      <c r="I306" s="198"/>
      <c r="J306" s="198">
        <f>SUM(J16:J297)</f>
        <v>0</v>
      </c>
      <c r="K306" s="198"/>
      <c r="L306" s="198">
        <f>SUM(L16:L297)</f>
        <v>0</v>
      </c>
      <c r="M306" s="198">
        <f>SUM(M16:M297)</f>
        <v>0</v>
      </c>
    </row>
    <row r="307" spans="1:13" s="10" customFormat="1" ht="44.25" hidden="1" customHeight="1" outlineLevel="1" x14ac:dyDescent="0.2">
      <c r="A307" s="55"/>
      <c r="B307" s="56"/>
      <c r="C307" s="57" t="s">
        <v>173</v>
      </c>
      <c r="D307" s="58" t="s">
        <v>17</v>
      </c>
      <c r="E307" s="62"/>
      <c r="F307" s="99">
        <v>0.05</v>
      </c>
      <c r="G307" s="125"/>
      <c r="H307" s="199"/>
      <c r="I307" s="200"/>
      <c r="J307" s="201"/>
      <c r="K307" s="201"/>
      <c r="L307" s="201">
        <f>J306*F307</f>
        <v>0</v>
      </c>
      <c r="M307" s="199">
        <f>L307</f>
        <v>0</v>
      </c>
    </row>
    <row r="308" spans="1:13" s="14" customFormat="1" ht="18" hidden="1" customHeight="1" outlineLevel="1" x14ac:dyDescent="0.25">
      <c r="A308" s="13"/>
      <c r="B308" s="52"/>
      <c r="C308" s="5" t="s">
        <v>9</v>
      </c>
      <c r="D308" s="58" t="s">
        <v>17</v>
      </c>
      <c r="E308" s="63"/>
      <c r="F308" s="100"/>
      <c r="G308" s="123"/>
      <c r="H308" s="198"/>
      <c r="I308" s="198"/>
      <c r="J308" s="198"/>
      <c r="K308" s="198"/>
      <c r="L308" s="198"/>
      <c r="M308" s="198">
        <f>SUM(M306:M307)</f>
        <v>0</v>
      </c>
    </row>
    <row r="309" spans="1:13" s="10" customFormat="1" ht="18" hidden="1" customHeight="1" outlineLevel="1" x14ac:dyDescent="0.2">
      <c r="A309" s="55"/>
      <c r="B309" s="56"/>
      <c r="C309" s="57" t="s">
        <v>175</v>
      </c>
      <c r="D309" s="58" t="s">
        <v>17</v>
      </c>
      <c r="E309" s="62"/>
      <c r="F309" s="99"/>
      <c r="G309" s="125"/>
      <c r="H309" s="199"/>
      <c r="I309" s="200"/>
      <c r="J309" s="201"/>
      <c r="K309" s="201"/>
      <c r="L309" s="201"/>
      <c r="M309" s="199">
        <f>M308*F309</f>
        <v>0</v>
      </c>
    </row>
    <row r="310" spans="1:13" s="14" customFormat="1" ht="18" hidden="1" customHeight="1" outlineLevel="1" x14ac:dyDescent="0.25">
      <c r="A310" s="13"/>
      <c r="B310" s="52"/>
      <c r="C310" s="5" t="s">
        <v>9</v>
      </c>
      <c r="D310" s="58" t="s">
        <v>17</v>
      </c>
      <c r="E310" s="63"/>
      <c r="F310" s="100"/>
      <c r="G310" s="123"/>
      <c r="H310" s="198"/>
      <c r="I310" s="198"/>
      <c r="J310" s="198"/>
      <c r="K310" s="198"/>
      <c r="L310" s="198"/>
      <c r="M310" s="198">
        <f>SUM(M308:M309)</f>
        <v>0</v>
      </c>
    </row>
    <row r="311" spans="1:13" s="10" customFormat="1" ht="18" hidden="1" customHeight="1" outlineLevel="1" x14ac:dyDescent="0.2">
      <c r="A311" s="55"/>
      <c r="B311" s="56"/>
      <c r="C311" s="57" t="s">
        <v>174</v>
      </c>
      <c r="D311" s="58" t="s">
        <v>17</v>
      </c>
      <c r="E311" s="62"/>
      <c r="F311" s="99"/>
      <c r="G311" s="125"/>
      <c r="H311" s="199"/>
      <c r="I311" s="200"/>
      <c r="J311" s="201"/>
      <c r="K311" s="201"/>
      <c r="L311" s="201"/>
      <c r="M311" s="199">
        <f>M310*F311</f>
        <v>0</v>
      </c>
    </row>
    <row r="312" spans="1:13" s="14" customFormat="1" ht="18" hidden="1" customHeight="1" outlineLevel="1" x14ac:dyDescent="0.25">
      <c r="A312" s="13"/>
      <c r="B312" s="52"/>
      <c r="C312" s="5" t="s">
        <v>9</v>
      </c>
      <c r="D312" s="58" t="s">
        <v>17</v>
      </c>
      <c r="E312" s="63"/>
      <c r="F312" s="100"/>
      <c r="G312" s="123"/>
      <c r="H312" s="198"/>
      <c r="I312" s="198"/>
      <c r="J312" s="198"/>
      <c r="K312" s="198"/>
      <c r="L312" s="198"/>
      <c r="M312" s="198">
        <f>SUM(M310:M311)</f>
        <v>0</v>
      </c>
    </row>
    <row r="313" spans="1:13" s="10" customFormat="1" ht="18" customHeight="1" collapsed="1" x14ac:dyDescent="0.2">
      <c r="A313" s="55"/>
      <c r="B313" s="56"/>
      <c r="C313" s="57" t="s">
        <v>28</v>
      </c>
      <c r="D313" s="58" t="s">
        <v>17</v>
      </c>
      <c r="E313" s="62"/>
      <c r="F313" s="99">
        <v>0.03</v>
      </c>
      <c r="G313" s="125"/>
      <c r="H313" s="199"/>
      <c r="I313" s="200"/>
      <c r="J313" s="201"/>
      <c r="K313" s="201"/>
      <c r="L313" s="201"/>
      <c r="M313" s="199">
        <f>M312*F313</f>
        <v>0</v>
      </c>
    </row>
    <row r="314" spans="1:13" s="14" customFormat="1" ht="18" customHeight="1" x14ac:dyDescent="0.25">
      <c r="A314" s="13"/>
      <c r="B314" s="52"/>
      <c r="C314" s="5" t="s">
        <v>9</v>
      </c>
      <c r="D314" s="58" t="s">
        <v>17</v>
      </c>
      <c r="E314" s="63"/>
      <c r="F314" s="100"/>
      <c r="G314" s="123"/>
      <c r="H314" s="198"/>
      <c r="I314" s="198"/>
      <c r="J314" s="198"/>
      <c r="K314" s="198"/>
      <c r="L314" s="198"/>
      <c r="M314" s="198">
        <f>SUM(M312:M313)</f>
        <v>0</v>
      </c>
    </row>
    <row r="315" spans="1:13" s="10" customFormat="1" ht="18" customHeight="1" x14ac:dyDescent="0.2">
      <c r="A315" s="55"/>
      <c r="B315" s="56"/>
      <c r="C315" s="57" t="s">
        <v>29</v>
      </c>
      <c r="D315" s="58" t="s">
        <v>17</v>
      </c>
      <c r="E315" s="62"/>
      <c r="F315" s="99">
        <v>0.18</v>
      </c>
      <c r="G315" s="125"/>
      <c r="H315" s="199"/>
      <c r="I315" s="200"/>
      <c r="J315" s="201"/>
      <c r="K315" s="201"/>
      <c r="L315" s="201"/>
      <c r="M315" s="199">
        <f>M314*F315</f>
        <v>0</v>
      </c>
    </row>
    <row r="316" spans="1:13" s="14" customFormat="1" ht="18" customHeight="1" x14ac:dyDescent="0.25">
      <c r="A316" s="13"/>
      <c r="B316" s="52"/>
      <c r="C316" s="5" t="s">
        <v>14</v>
      </c>
      <c r="D316" s="58" t="s">
        <v>17</v>
      </c>
      <c r="E316" s="53"/>
      <c r="F316" s="54"/>
      <c r="G316" s="123"/>
      <c r="H316" s="198"/>
      <c r="I316" s="198"/>
      <c r="J316" s="198"/>
      <c r="K316" s="198"/>
      <c r="L316" s="198"/>
      <c r="M316" s="198">
        <f>SUM(M314:M315)</f>
        <v>0</v>
      </c>
    </row>
    <row r="317" spans="1:13" s="15" customFormat="1" ht="20.100000000000001" customHeight="1" x14ac:dyDescent="0.25">
      <c r="C317" s="16"/>
      <c r="D317" s="17"/>
      <c r="E317" s="18"/>
      <c r="F317" s="18"/>
      <c r="G317" s="18"/>
      <c r="H317" s="19"/>
      <c r="I317" s="19"/>
    </row>
    <row r="318" spans="1:13" ht="16.5" customHeight="1" x14ac:dyDescent="0.2">
      <c r="A318" s="208" t="s">
        <v>127</v>
      </c>
      <c r="B318" s="208"/>
      <c r="C318" s="208"/>
      <c r="D318" s="208"/>
      <c r="E318" s="208"/>
      <c r="F318" s="208"/>
      <c r="G318" s="208"/>
      <c r="H318" s="208"/>
      <c r="I318" s="208"/>
      <c r="J318" s="22"/>
      <c r="K318" s="22"/>
      <c r="L318" s="22"/>
      <c r="M318" s="22"/>
    </row>
    <row r="319" spans="1:13" ht="15" customHeight="1" x14ac:dyDescent="0.2">
      <c r="A319" s="23"/>
      <c r="B319" s="23"/>
      <c r="C319" s="23"/>
      <c r="D319" s="2"/>
      <c r="E319" s="2"/>
      <c r="F319" s="69"/>
      <c r="G319" s="2"/>
      <c r="H319" s="2"/>
      <c r="I319" s="1"/>
      <c r="J319" s="1"/>
      <c r="K319" s="1"/>
      <c r="L319" s="1"/>
      <c r="M319" s="1"/>
    </row>
    <row r="320" spans="1:13" ht="15.75" customHeight="1" x14ac:dyDescent="0.2">
      <c r="A320" s="1"/>
      <c r="B320" s="1"/>
      <c r="C320" s="1"/>
      <c r="D320" s="1"/>
      <c r="E320" s="1"/>
      <c r="F320" s="66"/>
      <c r="G320" s="1"/>
      <c r="H320" s="1"/>
      <c r="I320" s="1"/>
      <c r="J320" s="1"/>
      <c r="K320" s="1"/>
      <c r="L320" s="1"/>
      <c r="M320" s="1"/>
    </row>
    <row r="321" spans="1:13" ht="20.25" customHeight="1" x14ac:dyDescent="0.2">
      <c r="A321" s="207"/>
      <c r="B321" s="207"/>
      <c r="C321" s="207"/>
      <c r="D321" s="3"/>
      <c r="E321" s="211"/>
      <c r="F321" s="211"/>
      <c r="G321" s="211"/>
      <c r="H321" s="211"/>
      <c r="I321" s="211"/>
      <c r="J321" s="211"/>
      <c r="K321" s="211"/>
      <c r="L321" s="211"/>
      <c r="M321" s="211"/>
    </row>
    <row r="322" spans="1:13" ht="20.25" customHeight="1" x14ac:dyDescent="0.2">
      <c r="A322" s="135"/>
      <c r="B322" s="135"/>
      <c r="C322" s="135"/>
      <c r="D322" s="135"/>
      <c r="E322" s="136"/>
      <c r="F322" s="70"/>
      <c r="G322" s="136"/>
      <c r="H322" s="136"/>
      <c r="I322" s="136"/>
      <c r="J322" s="136"/>
      <c r="K322" s="136"/>
      <c r="L322" s="136"/>
      <c r="M322" s="136"/>
    </row>
    <row r="323" spans="1:13" s="15" customFormat="1" ht="20.100000000000001" customHeight="1" x14ac:dyDescent="0.25">
      <c r="A323" s="207"/>
      <c r="B323" s="207"/>
      <c r="C323" s="207"/>
      <c r="D323" s="207"/>
      <c r="E323" s="3"/>
      <c r="F323" s="71"/>
      <c r="G323" s="3"/>
      <c r="H323" s="19"/>
      <c r="I323" s="19"/>
    </row>
  </sheetData>
  <mergeCells count="25">
    <mergeCell ref="A8:G8"/>
    <mergeCell ref="H8:I8"/>
    <mergeCell ref="H1:M1"/>
    <mergeCell ref="A2:M2"/>
    <mergeCell ref="A4:M4"/>
    <mergeCell ref="A6:M6"/>
    <mergeCell ref="A7:M7"/>
    <mergeCell ref="A9:F9"/>
    <mergeCell ref="G9:M9"/>
    <mergeCell ref="A10:A12"/>
    <mergeCell ref="B10:B12"/>
    <mergeCell ref="C10:C12"/>
    <mergeCell ref="D10:D12"/>
    <mergeCell ref="E10:E12"/>
    <mergeCell ref="F10:F12"/>
    <mergeCell ref="G10:M10"/>
    <mergeCell ref="G11:H11"/>
    <mergeCell ref="A323:D323"/>
    <mergeCell ref="I11:J11"/>
    <mergeCell ref="K11:L11"/>
    <mergeCell ref="M11:M12"/>
    <mergeCell ref="A318:C318"/>
    <mergeCell ref="D318:I318"/>
    <mergeCell ref="A321:C321"/>
    <mergeCell ref="E321:M321"/>
  </mergeCells>
  <pageMargins left="0.5" right="0.25" top="0.5" bottom="0.2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ხარჯთაღრიცხვა</vt:lpstr>
      <vt:lpstr>სატენდერო</vt:lpstr>
      <vt:lpstr>სატენდერო!Print_Area</vt:lpstr>
      <vt:lpstr>ხარჯთაღრიცხვა!Print_Area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Zaza</dc:creator>
  <cp:lastModifiedBy>Lasha Bolkvadze</cp:lastModifiedBy>
  <cp:lastPrinted>2021-07-05T08:48:45Z</cp:lastPrinted>
  <dcterms:created xsi:type="dcterms:W3CDTF">2015-06-05T18:17:20Z</dcterms:created>
  <dcterms:modified xsi:type="dcterms:W3CDTF">2021-07-09T13:07:27Z</dcterms:modified>
</cp:coreProperties>
</file>